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G:\Drives compartilhados\COMPRAS\COMPRAS 2025\Pregão\90058.2025 - Limpeza\88.0 - Ajustes pós projur\Orç\Publicar\"/>
    </mc:Choice>
  </mc:AlternateContent>
  <xr:revisionPtr revIDLastSave="0" documentId="13_ncr:1_{BEE36497-1046-46DA-A9F4-ECD62872F25A}" xr6:coauthVersionLast="47" xr6:coauthVersionMax="47" xr10:uidLastSave="{00000000-0000-0000-0000-000000000000}"/>
  <bookViews>
    <workbookView xWindow="-108" yWindow="-108" windowWidth="23256" windowHeight="13176" tabRatio="500" activeTab="7" xr2:uid="{00000000-000D-0000-FFFF-FFFF00000000}"/>
  </bookViews>
  <sheets>
    <sheet name="RESUMO" sheetId="1" r:id="rId1"/>
    <sheet name="Custos por posto" sheetId="2" r:id="rId2"/>
    <sheet name="M²" sheetId="3" r:id="rId3"/>
    <sheet name="EQU" sheetId="4" r:id="rId4"/>
    <sheet name="UNI.EPI" sheetId="5" r:id="rId5"/>
    <sheet name="MAT" sheetId="6" r:id="rId6"/>
    <sheet name="UTE" sheetId="7" r:id="rId7"/>
    <sheet name="Locais" sheetId="8" r:id="rId8"/>
  </sheets>
  <definedNames>
    <definedName name="_xlnm._FilterDatabase" localSheetId="7" hidden="1">Locais!$H$4:$H$30</definedName>
    <definedName name="Excel_BuiltIn_Print_Area">#REF!</definedName>
    <definedName name="Excel_BuiltIn_Print_Area_1">#REF!</definedName>
    <definedName name="Excel_BuiltIn_Print_Area_2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8" i="8" l="1"/>
  <c r="I27" i="8"/>
  <c r="N12" i="8" s="1"/>
  <c r="I26" i="8"/>
  <c r="I25" i="8"/>
  <c r="I24" i="8"/>
  <c r="I23" i="8"/>
  <c r="I22" i="8"/>
  <c r="N21" i="8"/>
  <c r="E61" i="3" s="1"/>
  <c r="M21" i="8"/>
  <c r="I21" i="8"/>
  <c r="N20" i="8"/>
  <c r="G68" i="3" s="1"/>
  <c r="M20" i="8"/>
  <c r="I20" i="8"/>
  <c r="M19" i="8"/>
  <c r="I19" i="8"/>
  <c r="M18" i="8"/>
  <c r="I18" i="8"/>
  <c r="M17" i="8"/>
  <c r="I17" i="8"/>
  <c r="N17" i="8" s="1"/>
  <c r="N16" i="8"/>
  <c r="M16" i="8"/>
  <c r="I16" i="8"/>
  <c r="N18" i="8" s="1"/>
  <c r="N15" i="8"/>
  <c r="G59" i="3" s="1"/>
  <c r="I59" i="3" s="1"/>
  <c r="M15" i="8"/>
  <c r="I15" i="8"/>
  <c r="N19" i="8" s="1"/>
  <c r="N14" i="8"/>
  <c r="M14" i="8"/>
  <c r="I14" i="8"/>
  <c r="N13" i="8"/>
  <c r="E57" i="3" s="1"/>
  <c r="M13" i="8"/>
  <c r="I13" i="8"/>
  <c r="N6" i="8" s="1"/>
  <c r="M12" i="8"/>
  <c r="I12" i="8"/>
  <c r="N11" i="8"/>
  <c r="M11" i="8"/>
  <c r="I11" i="8"/>
  <c r="M10" i="8"/>
  <c r="I10" i="8"/>
  <c r="M9" i="8"/>
  <c r="I9" i="8"/>
  <c r="N8" i="8"/>
  <c r="M8" i="8"/>
  <c r="I8" i="8"/>
  <c r="N9" i="8" s="1"/>
  <c r="N7" i="8"/>
  <c r="G51" i="3" s="1"/>
  <c r="I51" i="3" s="1"/>
  <c r="M7" i="8"/>
  <c r="I7" i="8"/>
  <c r="M6" i="8"/>
  <c r="I6" i="8"/>
  <c r="N10" i="8" s="1"/>
  <c r="M5" i="8"/>
  <c r="I5" i="8"/>
  <c r="I28" i="8" s="1"/>
  <c r="N4" i="8"/>
  <c r="G48" i="3" s="1"/>
  <c r="I48" i="3" s="1"/>
  <c r="M4" i="8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23" i="7" s="1"/>
  <c r="G24" i="7" s="1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39" i="6" s="1"/>
  <c r="G40" i="6" s="1"/>
  <c r="G29" i="5"/>
  <c r="G28" i="5"/>
  <c r="G27" i="5"/>
  <c r="G26" i="5"/>
  <c r="G25" i="5"/>
  <c r="G24" i="5"/>
  <c r="G23" i="5"/>
  <c r="G22" i="5"/>
  <c r="G21" i="5"/>
  <c r="G30" i="5" s="1"/>
  <c r="G31" i="5" s="1"/>
  <c r="D97" i="2" s="1"/>
  <c r="E97" i="2" s="1"/>
  <c r="G20" i="5"/>
  <c r="G12" i="5"/>
  <c r="G11" i="5"/>
  <c r="G10" i="5"/>
  <c r="G9" i="5"/>
  <c r="G8" i="5"/>
  <c r="G7" i="5"/>
  <c r="G6" i="5"/>
  <c r="G5" i="5"/>
  <c r="G13" i="5" s="1"/>
  <c r="G14" i="5" s="1"/>
  <c r="G19" i="4"/>
  <c r="H19" i="4" s="1"/>
  <c r="H11" i="4"/>
  <c r="H10" i="4"/>
  <c r="H9" i="4"/>
  <c r="H8" i="4"/>
  <c r="H7" i="4"/>
  <c r="H6" i="4"/>
  <c r="H5" i="4"/>
  <c r="H12" i="4" s="1"/>
  <c r="K68" i="3"/>
  <c r="K67" i="3"/>
  <c r="K66" i="3"/>
  <c r="K65" i="3"/>
  <c r="K61" i="3"/>
  <c r="K60" i="3"/>
  <c r="G60" i="3"/>
  <c r="I60" i="3" s="1"/>
  <c r="E60" i="3"/>
  <c r="K59" i="3"/>
  <c r="K58" i="3"/>
  <c r="G58" i="3"/>
  <c r="I58" i="3" s="1"/>
  <c r="E58" i="3"/>
  <c r="K57" i="3"/>
  <c r="G57" i="3"/>
  <c r="I57" i="3" s="1"/>
  <c r="K56" i="3"/>
  <c r="K55" i="3"/>
  <c r="I55" i="3"/>
  <c r="G55" i="3"/>
  <c r="E55" i="3"/>
  <c r="K54" i="3"/>
  <c r="K53" i="3"/>
  <c r="K52" i="3"/>
  <c r="G52" i="3"/>
  <c r="I52" i="3" s="1"/>
  <c r="E52" i="3"/>
  <c r="K51" i="3"/>
  <c r="K50" i="3"/>
  <c r="K49" i="3"/>
  <c r="K48" i="3"/>
  <c r="G42" i="3"/>
  <c r="E42" i="3"/>
  <c r="G40" i="3"/>
  <c r="E40" i="3"/>
  <c r="G38" i="3"/>
  <c r="E38" i="3"/>
  <c r="G36" i="3"/>
  <c r="E36" i="3"/>
  <c r="E32" i="3"/>
  <c r="E30" i="3"/>
  <c r="E28" i="3"/>
  <c r="E26" i="3"/>
  <c r="E24" i="3"/>
  <c r="E22" i="3"/>
  <c r="E20" i="3"/>
  <c r="E18" i="3"/>
  <c r="E16" i="3"/>
  <c r="E14" i="3"/>
  <c r="E12" i="3"/>
  <c r="E10" i="3"/>
  <c r="E8" i="3"/>
  <c r="E6" i="3"/>
  <c r="E121" i="2"/>
  <c r="D121" i="2"/>
  <c r="C103" i="2"/>
  <c r="C85" i="2"/>
  <c r="C79" i="2"/>
  <c r="C78" i="2"/>
  <c r="C81" i="2" s="1"/>
  <c r="C77" i="2"/>
  <c r="C76" i="2"/>
  <c r="C75" i="2"/>
  <c r="C70" i="2"/>
  <c r="C68" i="2"/>
  <c r="C67" i="2"/>
  <c r="C65" i="2"/>
  <c r="C66" i="2" s="1"/>
  <c r="E53" i="2"/>
  <c r="D53" i="2"/>
  <c r="E52" i="2"/>
  <c r="D52" i="2"/>
  <c r="D51" i="2"/>
  <c r="C48" i="2"/>
  <c r="C69" i="2" s="1"/>
  <c r="C35" i="2"/>
  <c r="C34" i="2"/>
  <c r="C33" i="2"/>
  <c r="D25" i="2"/>
  <c r="D29" i="2" s="1"/>
  <c r="D23" i="2"/>
  <c r="E19" i="2"/>
  <c r="E18" i="2"/>
  <c r="D18" i="2"/>
  <c r="E17" i="2"/>
  <c r="E23" i="2" s="1"/>
  <c r="E15" i="2"/>
  <c r="D15" i="2"/>
  <c r="E65" i="3" l="1"/>
  <c r="G65" i="3"/>
  <c r="E54" i="3"/>
  <c r="G54" i="3"/>
  <c r="I54" i="3" s="1"/>
  <c r="D111" i="2"/>
  <c r="D54" i="2"/>
  <c r="D56" i="2" s="1"/>
  <c r="D61" i="2" s="1"/>
  <c r="D34" i="2"/>
  <c r="D76" i="2"/>
  <c r="D84" i="2"/>
  <c r="D85" i="2" s="1"/>
  <c r="D89" i="2" s="1"/>
  <c r="D77" i="2"/>
  <c r="D78" i="2"/>
  <c r="D75" i="2"/>
  <c r="D79" i="2"/>
  <c r="D33" i="2"/>
  <c r="G56" i="3"/>
  <c r="I56" i="3" s="1"/>
  <c r="E56" i="3"/>
  <c r="E51" i="2"/>
  <c r="E29" i="2"/>
  <c r="E24" i="2"/>
  <c r="G66" i="3"/>
  <c r="E66" i="3"/>
  <c r="E53" i="3"/>
  <c r="G53" i="3"/>
  <c r="I53" i="3" s="1"/>
  <c r="I68" i="3"/>
  <c r="E93" i="2"/>
  <c r="D93" i="2"/>
  <c r="G50" i="3"/>
  <c r="I50" i="3" s="1"/>
  <c r="E50" i="3"/>
  <c r="G67" i="3"/>
  <c r="E67" i="3"/>
  <c r="E48" i="3"/>
  <c r="E68" i="3"/>
  <c r="N5" i="8"/>
  <c r="E51" i="3"/>
  <c r="E59" i="3"/>
  <c r="G61" i="3"/>
  <c r="I61" i="3" s="1"/>
  <c r="E49" i="3" l="1"/>
  <c r="G49" i="3"/>
  <c r="I49" i="3" s="1"/>
  <c r="I62" i="3" s="1"/>
  <c r="D81" i="2"/>
  <c r="D88" i="2" s="1"/>
  <c r="D90" i="2" s="1"/>
  <c r="D114" i="2" s="1"/>
  <c r="I66" i="3"/>
  <c r="I67" i="3"/>
  <c r="D35" i="2"/>
  <c r="E84" i="2"/>
  <c r="E85" i="2" s="1"/>
  <c r="E89" i="2" s="1"/>
  <c r="E78" i="2"/>
  <c r="E77" i="2"/>
  <c r="E75" i="2"/>
  <c r="E79" i="2"/>
  <c r="E33" i="2"/>
  <c r="E111" i="2"/>
  <c r="E54" i="2"/>
  <c r="E56" i="2" s="1"/>
  <c r="E61" i="2" s="1"/>
  <c r="E34" i="2"/>
  <c r="E76" i="2"/>
  <c r="I65" i="3"/>
  <c r="I69" i="3" l="1"/>
  <c r="I70" i="3" s="1"/>
  <c r="I72" i="3" s="1"/>
  <c r="E81" i="2"/>
  <c r="E88" i="2" s="1"/>
  <c r="E90" i="2" s="1"/>
  <c r="E114" i="2" s="1"/>
  <c r="E35" i="2"/>
  <c r="D37" i="2"/>
  <c r="D59" i="2"/>
  <c r="D69" i="2"/>
  <c r="D44" i="2"/>
  <c r="D47" i="2"/>
  <c r="D40" i="2"/>
  <c r="D43" i="2"/>
  <c r="D46" i="2"/>
  <c r="D66" i="2"/>
  <c r="D41" i="2"/>
  <c r="D70" i="2"/>
  <c r="D68" i="2"/>
  <c r="D67" i="2"/>
  <c r="D45" i="2"/>
  <c r="D42" i="2"/>
  <c r="D65" i="2"/>
  <c r="E20" i="4" l="1"/>
  <c r="H20" i="4" s="1"/>
  <c r="E41" i="6"/>
  <c r="G41" i="6" s="1"/>
  <c r="D94" i="2" s="1"/>
  <c r="E13" i="4"/>
  <c r="H13" i="4" s="1"/>
  <c r="E25" i="7"/>
  <c r="G25" i="7" s="1"/>
  <c r="D96" i="2" s="1"/>
  <c r="E96" i="2" s="1"/>
  <c r="D123" i="2"/>
  <c r="D71" i="2"/>
  <c r="D113" i="2" s="1"/>
  <c r="E37" i="2"/>
  <c r="E59" i="2"/>
  <c r="E42" i="2"/>
  <c r="E69" i="2"/>
  <c r="E67" i="2"/>
  <c r="E41" i="2"/>
  <c r="E45" i="2"/>
  <c r="E46" i="2"/>
  <c r="E44" i="2"/>
  <c r="E40" i="2"/>
  <c r="E47" i="2"/>
  <c r="E68" i="2"/>
  <c r="E43" i="2"/>
  <c r="E70" i="2"/>
  <c r="E66" i="2"/>
  <c r="E65" i="2"/>
  <c r="E71" i="2" s="1"/>
  <c r="E113" i="2" s="1"/>
  <c r="D48" i="2"/>
  <c r="D60" i="2" s="1"/>
  <c r="D62" i="2" s="1"/>
  <c r="D112" i="2" s="1"/>
  <c r="E94" i="2" l="1"/>
  <c r="E48" i="2"/>
  <c r="E60" i="2" s="1"/>
  <c r="E62" i="2" s="1"/>
  <c r="E112" i="2" s="1"/>
  <c r="H23" i="4"/>
  <c r="D95" i="2" s="1"/>
  <c r="E95" i="2" s="1"/>
  <c r="D98" i="2" l="1"/>
  <c r="D115" i="2" s="1"/>
  <c r="D116" i="2" s="1"/>
  <c r="E98" i="2"/>
  <c r="E115" i="2" s="1"/>
  <c r="E116" i="2" s="1"/>
  <c r="E101" i="2" l="1"/>
  <c r="E102" i="2"/>
  <c r="D101" i="2"/>
  <c r="D102" i="2" l="1"/>
  <c r="E118" i="2"/>
  <c r="E105" i="2" l="1"/>
  <c r="E104" i="2"/>
  <c r="E124" i="2"/>
  <c r="E125" i="2" s="1"/>
  <c r="H36" i="3"/>
  <c r="I36" i="3" s="1"/>
  <c r="I37" i="3" s="1"/>
  <c r="D65" i="3" s="1"/>
  <c r="H65" i="3" s="1"/>
  <c r="E106" i="2"/>
  <c r="D118" i="2"/>
  <c r="D124" i="2" l="1"/>
  <c r="H6" i="3"/>
  <c r="D104" i="2"/>
  <c r="D105" i="2"/>
  <c r="D106" i="2"/>
  <c r="E103" i="2"/>
  <c r="E107" i="2" s="1"/>
  <c r="E117" i="2" s="1"/>
  <c r="D103" i="2" l="1"/>
  <c r="D107" i="2" s="1"/>
  <c r="D117" i="2" s="1"/>
  <c r="H30" i="3"/>
  <c r="I30" i="3" s="1"/>
  <c r="I31" i="3" s="1"/>
  <c r="D60" i="3" s="1"/>
  <c r="H60" i="3" s="1"/>
  <c r="H40" i="3"/>
  <c r="I40" i="3" s="1"/>
  <c r="I41" i="3" s="1"/>
  <c r="D67" i="3" s="1"/>
  <c r="H67" i="3" s="1"/>
  <c r="H38" i="3"/>
  <c r="I38" i="3" s="1"/>
  <c r="I39" i="3" s="1"/>
  <c r="D66" i="3" s="1"/>
  <c r="H66" i="3" s="1"/>
  <c r="I6" i="3"/>
  <c r="I7" i="3" s="1"/>
  <c r="D48" i="3" s="1"/>
  <c r="H48" i="3" s="1"/>
  <c r="H42" i="3"/>
  <c r="I42" i="3" s="1"/>
  <c r="I43" i="3" s="1"/>
  <c r="D68" i="3" s="1"/>
  <c r="H68" i="3" s="1"/>
  <c r="H26" i="3"/>
  <c r="I26" i="3" s="1"/>
  <c r="I27" i="3" s="1"/>
  <c r="D58" i="3" s="1"/>
  <c r="H58" i="3" s="1"/>
  <c r="H14" i="3"/>
  <c r="I14" i="3" s="1"/>
  <c r="I15" i="3" s="1"/>
  <c r="D52" i="3" s="1"/>
  <c r="H52" i="3" s="1"/>
  <c r="H22" i="3"/>
  <c r="I22" i="3" s="1"/>
  <c r="I23" i="3" s="1"/>
  <c r="D56" i="3" s="1"/>
  <c r="H56" i="3" s="1"/>
  <c r="H10" i="3"/>
  <c r="I10" i="3" s="1"/>
  <c r="I11" i="3" s="1"/>
  <c r="D50" i="3" s="1"/>
  <c r="H50" i="3" s="1"/>
  <c r="H32" i="3"/>
  <c r="I32" i="3" s="1"/>
  <c r="I33" i="3" s="1"/>
  <c r="D61" i="3" s="1"/>
  <c r="H61" i="3" s="1"/>
  <c r="H28" i="3"/>
  <c r="I28" i="3" s="1"/>
  <c r="I29" i="3" s="1"/>
  <c r="D59" i="3" s="1"/>
  <c r="H59" i="3" s="1"/>
  <c r="H24" i="3"/>
  <c r="I24" i="3" s="1"/>
  <c r="I25" i="3" s="1"/>
  <c r="D57" i="3" s="1"/>
  <c r="H57" i="3" s="1"/>
  <c r="H20" i="3"/>
  <c r="I20" i="3" s="1"/>
  <c r="I21" i="3" s="1"/>
  <c r="D55" i="3" s="1"/>
  <c r="H55" i="3" s="1"/>
  <c r="H16" i="3"/>
  <c r="I16" i="3" s="1"/>
  <c r="I17" i="3" s="1"/>
  <c r="D53" i="3" s="1"/>
  <c r="H53" i="3" s="1"/>
  <c r="H12" i="3"/>
  <c r="I12" i="3" s="1"/>
  <c r="I13" i="3" s="1"/>
  <c r="D51" i="3" s="1"/>
  <c r="H51" i="3" s="1"/>
  <c r="H8" i="3"/>
  <c r="I8" i="3" s="1"/>
  <c r="I9" i="3" s="1"/>
  <c r="D49" i="3" s="1"/>
  <c r="H49" i="3" s="1"/>
  <c r="H18" i="3"/>
  <c r="I18" i="3" s="1"/>
  <c r="I19" i="3" s="1"/>
  <c r="D54" i="3" s="1"/>
  <c r="H54" i="3" s="1"/>
  <c r="H69" i="3" l="1"/>
  <c r="H62" i="3"/>
  <c r="H70" i="3" s="1"/>
  <c r="D125" i="2" l="1"/>
  <c r="D126" i="2" s="1"/>
  <c r="H26" i="1"/>
  <c r="I26" i="1" s="1"/>
  <c r="I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 desconhecido</author>
  </authors>
  <commentList>
    <comment ref="C42" authorId="0" shapeId="0" xr:uid="{00000000-0006-0000-0100-000001000000}">
      <text>
        <r>
          <rPr>
            <sz val="10"/>
            <rFont val="Arial"/>
            <family val="2"/>
          </rPr>
          <t>RAT 3% (serv. limp. prédios e domicílios) x FAT (fator individual da empresa) (máximo 2%).</t>
        </r>
      </text>
    </comment>
    <comment ref="C65" authorId="0" shapeId="0" xr:uid="{00000000-0006-0000-0100-000002000000}">
      <text>
        <r>
          <rPr>
            <sz val="10"/>
            <rFont val="Arial"/>
            <family val="2"/>
          </rPr>
          <t>Será reduzido no 13° mês de contrato.</t>
        </r>
      </text>
    </comment>
    <comment ref="C68" authorId="0" shapeId="0" xr:uid="{00000000-0006-0000-0100-000003000000}">
      <text>
        <r>
          <rPr>
            <sz val="10"/>
            <rFont val="Arial"/>
            <family val="2"/>
          </rPr>
          <t>Será zerado no 13° do contrato</t>
        </r>
      </text>
    </comment>
    <comment ref="C75" authorId="0" shapeId="0" xr:uid="{00000000-0006-0000-0100-000004000000}">
      <text>
        <r>
          <rPr>
            <sz val="10"/>
            <rFont val="Arial"/>
            <family val="2"/>
          </rPr>
          <t>[1+(1/12)+(1/12)+(1/12/3)]/12</t>
        </r>
      </text>
    </comment>
    <comment ref="C76" authorId="0" shapeId="0" xr:uid="{00000000-0006-0000-0100-000005000000}">
      <text>
        <r>
          <rPr>
            <sz val="10"/>
            <rFont val="Arial"/>
            <family val="2"/>
          </rPr>
          <t>[(1/30)/12] - Art.473 da CLT. Acordão TCU n° 6.771/2009.</t>
        </r>
      </text>
    </comment>
    <comment ref="C77" authorId="0" shapeId="0" xr:uid="{00000000-0006-0000-0100-000006000000}">
      <text>
        <r>
          <rPr>
            <sz val="10"/>
            <rFont val="Arial"/>
            <family val="2"/>
          </rPr>
          <t>{[(5/30/12} x 1,62% x 50%
considerou-se a taxa de natalidade de 1,62% (IBGE 2023) a força de trabalho masculina de
50% e 5 dias de licença por ano. Onde: 5 = nº dias de licença; 30 = nº dias no mês; 12 = nº meses no ano; 1,5% = média trabalhadores que são pais durante o ano ((Acórdão-TCU nº 1.904-P, de 2007).</t>
        </r>
      </text>
    </comment>
    <comment ref="C78" authorId="0" shapeId="0" xr:uid="{00000000-0006-0000-0100-000007000000}">
      <text>
        <r>
          <rPr>
            <sz val="10"/>
            <rFont val="Arial"/>
            <family val="2"/>
          </rPr>
          <t>Estima-se uma licença de 15 dias por ano para 1,22% dos empregados. Esta taxa foi obtida
pela proporção de acidentes de trabalho registrados, 717.911, conforme dados do Anuário Estatístico da Previdência Social – AEPS/2013, em relação a 58.981.000 de trabalhadores que fazem jus a emissão da CAT (trabalhadores com carteira assinada, outros tipos de trabalhadores e domésticas), conforme dados da PNAD 2013.</t>
        </r>
      </text>
    </comment>
    <comment ref="C79" authorId="0" shapeId="0" xr:uid="{00000000-0006-0000-0100-000008000000}">
      <text>
        <r>
          <rPr>
            <sz val="10"/>
            <rFont val="Arial"/>
            <family val="2"/>
          </rPr>
          <t>Durante a licença, o salário maternidade e a parcela do décimo terceiro salário é custeado pelo INSS (Art. 59 da IN RFB 2110/2022). Cabe à contratada a provisão relativa às férias (1/12) e adicional de férias (1/12/3). Para o cálculo foi considerada a taxa de natalidade de 1,62% ao ano (IBGE 2023), a força de trabalho feminina de 50% e 120 dias de licença por ano.</t>
        </r>
      </text>
    </comment>
    <comment ref="F79" authorId="0" shapeId="0" xr:uid="{00000000-0006-0000-0100-000009000000}">
      <text>
        <r>
          <rPr>
            <sz val="10"/>
            <rFont val="Arial"/>
            <family val="2"/>
          </rPr>
          <t>Em meses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 desconhecido</author>
  </authors>
  <commentList>
    <comment ref="M9" authorId="0" shapeId="0" xr:uid="{00000000-0006-0000-0700-000001000000}">
      <text>
        <r>
          <rPr>
            <sz val="10"/>
            <rFont val="Arial"/>
            <family val="2"/>
          </rPr>
          <t>fórmula conferida
======</t>
        </r>
      </text>
    </comment>
    <comment ref="N9" authorId="0" shapeId="0" xr:uid="{00000000-0006-0000-0700-000002000000}">
      <text>
        <r>
          <rPr>
            <sz val="10"/>
            <rFont val="Arial"/>
            <family val="2"/>
          </rPr>
          <t>fórmula conferida
======</t>
        </r>
      </text>
    </comment>
  </commentList>
</comments>
</file>

<file path=xl/sharedStrings.xml><?xml version="1.0" encoding="utf-8"?>
<sst xmlns="http://schemas.openxmlformats.org/spreadsheetml/2006/main" count="733" uniqueCount="377">
  <si>
    <t>Orçamento Estimativo Item 04 - Campus Fraiburgo</t>
  </si>
  <si>
    <t>Pregão nº:</t>
  </si>
  <si>
    <t>Processo:</t>
  </si>
  <si>
    <t>Data:</t>
  </si>
  <si>
    <t>Hora:</t>
  </si>
  <si>
    <t>Objeto:</t>
  </si>
  <si>
    <t>Contratação de pessoa jurídica especializada na prestação de serviços continuados de limpeza e conservação de bens móveis e imóveis, com dedicação exclusiva demão de obra e fornecimento de materiais, utensílios e equipamentos necessários, conforme condições, quantidades e exigências estabelecidas neste Edital e seus anexos.</t>
  </si>
  <si>
    <t>IDENTIFICAÇÃO DA PROPONENTE:</t>
  </si>
  <si>
    <t>Razão Social:</t>
  </si>
  <si>
    <t>CNPJ:</t>
  </si>
  <si>
    <t>Endereço:</t>
  </si>
  <si>
    <t>Município:</t>
  </si>
  <si>
    <t>Telefone:</t>
  </si>
  <si>
    <t>E-mail:</t>
  </si>
  <si>
    <t>RESPONSÁVEL PELA ASSINATURA DO CONTRATO:</t>
  </si>
  <si>
    <t>Representante:</t>
  </si>
  <si>
    <t>Função:</t>
  </si>
  <si>
    <t>CPF:</t>
  </si>
  <si>
    <t>RG:</t>
  </si>
  <si>
    <t>Valores Propostos (Lote Único):</t>
  </si>
  <si>
    <t>Item</t>
  </si>
  <si>
    <t>Descrição</t>
  </si>
  <si>
    <t>Unid. Medida</t>
  </si>
  <si>
    <t>Qtd.</t>
  </si>
  <si>
    <t>Valor Mensal</t>
  </si>
  <si>
    <t>Valor Total Anual</t>
  </si>
  <si>
    <t>Contratação de empresa especializada na
prestação de serviços continuados de limpeza,
higienização e conservação de bens móveis e
imóveis, com dedicação exclusiva de mão de
obra e fornecimento de materiais, utensílios e
equipamentos necessários, para atender às
necessidades do IFC — Campus Fraiburgo</t>
  </si>
  <si>
    <t>Mês</t>
  </si>
  <si>
    <t>TOTAL</t>
  </si>
  <si>
    <t>Validade da Proposta:</t>
  </si>
  <si>
    <t>Planilha de Custo e Formação de Preço Oficial</t>
  </si>
  <si>
    <t>Processo nª</t>
  </si>
  <si>
    <t>Licitação nº</t>
  </si>
  <si>
    <t>Discriminação dos Serviços (dados referentes à contratação)</t>
  </si>
  <si>
    <t>A</t>
  </si>
  <si>
    <t>Data de apreciação da proposta (dia/mês/ano)</t>
  </si>
  <si>
    <t>B</t>
  </si>
  <si>
    <t>Município/DF</t>
  </si>
  <si>
    <t xml:space="preserve">C           </t>
  </si>
  <si>
    <t>CCT</t>
  </si>
  <si>
    <t>D</t>
  </si>
  <si>
    <t>Nº de meses de execução contratual</t>
  </si>
  <si>
    <t>Identificação do serviço</t>
  </si>
  <si>
    <t>Posto de Serviço</t>
  </si>
  <si>
    <t>Servente de Limpeza</t>
  </si>
  <si>
    <t>Servente de Limpeza (periculosidade)</t>
  </si>
  <si>
    <t>Nº de empregados</t>
  </si>
  <si>
    <t>Nº de dias trabalhados</t>
  </si>
  <si>
    <t>Carga horária semanal</t>
  </si>
  <si>
    <t>Dados para composição dos custos referentes a mão de obra</t>
  </si>
  <si>
    <t>Tipo de serviço</t>
  </si>
  <si>
    <t>Classificação Brasileira de Ocupações (CBO)</t>
  </si>
  <si>
    <t>5143-20</t>
  </si>
  <si>
    <t>Salário normativo da categoria profissional</t>
  </si>
  <si>
    <t>Categoria profissional</t>
  </si>
  <si>
    <t>Data base da categoria</t>
  </si>
  <si>
    <t>Módulo 1 - Composição da remuneração</t>
  </si>
  <si>
    <t>Composição da remuneração</t>
  </si>
  <si>
    <t>%</t>
  </si>
  <si>
    <t>Valor (R$)</t>
  </si>
  <si>
    <t>Salário base</t>
  </si>
  <si>
    <t>Adicional de periculosidade</t>
  </si>
  <si>
    <t>C</t>
  </si>
  <si>
    <t>Adicional de insalubridade</t>
  </si>
  <si>
    <t>Adicional noturno</t>
  </si>
  <si>
    <t>E</t>
  </si>
  <si>
    <t>Adicional de hora noturna reduzida</t>
  </si>
  <si>
    <t>F</t>
  </si>
  <si>
    <t>Outros (especificar)</t>
  </si>
  <si>
    <t>Total</t>
  </si>
  <si>
    <t>Módulo 2 – Encargos e benefícios anuais, mensais e diários</t>
  </si>
  <si>
    <t>Submódulo 2.1 – 13º (décimo terceiro) salário e adicional de férias</t>
  </si>
  <si>
    <t>2.1</t>
  </si>
  <si>
    <t>13º (décimo terceiro) salário e adicional de férias</t>
  </si>
  <si>
    <t>13º (décimo terceiro) salário</t>
  </si>
  <si>
    <t>Adicional de férias</t>
  </si>
  <si>
    <t>Total Módulo 1 + submódulo 2.1</t>
  </si>
  <si>
    <t>Submódulo 2.2 – Encargos previdenciários (GPS), fundo de garantia por tempo de serviços (FGTS) e outras contribuições</t>
  </si>
  <si>
    <t>2.2</t>
  </si>
  <si>
    <t>GPS, FGTS e outras contribuições</t>
  </si>
  <si>
    <t>INSS</t>
  </si>
  <si>
    <t>Salário educação</t>
  </si>
  <si>
    <t>SAT</t>
  </si>
  <si>
    <t>SESC ou SESI</t>
  </si>
  <si>
    <t>SENAI – SENAC</t>
  </si>
  <si>
    <t>SEBRAE</t>
  </si>
  <si>
    <t>G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</si>
  <si>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</si>
  <si>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</si>
  <si>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</si>
  <si>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</si>
  <si>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</si>
  <si>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</si>
  <si>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Vale Transporte (Vlr. Unit. x 2 x 22 dias) - 6% s/ salário</t>
  </si>
  <si>
    <t>Auxílio-alimentação (Vlr. Unit. x 22 dias) – Desconto 1%</t>
  </si>
  <si>
    <t>Benefício de Assistência ao Trabalhador</t>
  </si>
  <si>
    <t>Prêmio assiduidade</t>
  </si>
  <si>
    <t>Quadro-resumo do módulo 2 – Encargos e benefícios anuais, mensais e</t>
  </si>
  <si>
    <t>diários</t>
  </si>
  <si>
    <t>Encargos e benefícios anuais, mensais e diários</t>
  </si>
  <si>
    <t>13º (décimo terceiro) salário, férias e adicional de férias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</si>
  <si>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</si>
  <si>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</si>
  <si>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</si>
  <si>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</si>
  <si>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relativa ao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</si>
  <si>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</si>
  <si>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</si>
  <si>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</si>
  <si>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</si>
  <si>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Substituto nas ausências legais</t>
  </si>
  <si>
    <t>4.1</t>
  </si>
  <si>
    <t>Composição do custo de reposição do profissional ausente</t>
  </si>
  <si>
    <t>Dias de afastamento</t>
  </si>
  <si>
    <t>Percentual de incidência</t>
  </si>
  <si>
    <t>Substituto na cobertura de férias</t>
  </si>
  <si>
    <t>Substituto na cobertura de ausências legais</t>
  </si>
  <si>
    <t>Substituto na cobertura de licença-paternidade</t>
  </si>
  <si>
    <t>Substituto da cobertura de acidente de trabalho</t>
  </si>
  <si>
    <t>Substituto na cobertura de afastamento maternidade</t>
  </si>
  <si>
    <t>Substituto na cobertura de Outras ausências (especificar)</t>
  </si>
  <si>
    <t xml:space="preserve">Sub total </t>
  </si>
  <si>
    <t>Submódulo 4.2 – Substituto na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</si>
  <si>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</si>
  <si>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</si>
  <si>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</si>
  <si>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</si>
  <si>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</si>
  <si>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Substituto nas ausências legais</t>
  </si>
  <si>
    <t>Módulo 5 - Insumos diversos</t>
  </si>
  <si>
    <t>Insumos diversos</t>
  </si>
  <si>
    <t>Uniformes</t>
  </si>
  <si>
    <t>Materiais</t>
  </si>
  <si>
    <t>Equipamentos</t>
  </si>
  <si>
    <t>Utensílios</t>
  </si>
  <si>
    <t>Outros (EPIs)</t>
  </si>
  <si>
    <t>Total de Insumos diversos</t>
  </si>
  <si>
    <t>Módulo 6 - Custos indiretos, tributos e lucro</t>
  </si>
  <si>
    <t>Custos Indiretos, tributos e lucro</t>
  </si>
  <si>
    <t>Custos indiretos</t>
  </si>
  <si>
    <t>Lucro</t>
  </si>
  <si>
    <t>Tributos</t>
  </si>
  <si>
    <t>C1</t>
  </si>
  <si>
    <t>Tributos federais (PIS E COFINS)</t>
  </si>
  <si>
    <t>C2</t>
  </si>
  <si>
    <t>Tributos estaduais (especificar)</t>
  </si>
  <si>
    <t>C3</t>
  </si>
  <si>
    <t>Tributos municipais (especificar) ISS (Cód. 17.05)</t>
  </si>
  <si>
    <t>Quadro-resumo do custo por empregado</t>
  </si>
  <si>
    <t>Mão de obra vinculada à execução contratual</t>
  </si>
  <si>
    <t>Subtotal (A + B + C + D + E)</t>
  </si>
  <si>
    <t>Valor total por empregado</t>
  </si>
  <si>
    <t>Quadro-resumo do valor mensal dos serviços</t>
  </si>
  <si>
    <t>QTD Funcionário por posto =</t>
  </si>
  <si>
    <t>QTD de Postos =</t>
  </si>
  <si>
    <t>Valor Unitário por posto =</t>
  </si>
  <si>
    <t>Sub-Total Mensal por m² =</t>
  </si>
  <si>
    <t>Valor Global da Proposta (12 meses)</t>
  </si>
  <si>
    <t>PLANILHA AUXILIAR: DETERMINAÇÃO DO VALOR DO SERVIÇO EM R$/M²</t>
  </si>
  <si>
    <t>Mão de obra</t>
  </si>
  <si>
    <t>Área</t>
  </si>
  <si>
    <t>Produtividade</t>
  </si>
  <si>
    <t>Preço homem-mês</t>
  </si>
  <si>
    <t>Subtotal</t>
  </si>
  <si>
    <t>Servente</t>
  </si>
  <si>
    <t>Pisos acarpetados</t>
  </si>
  <si>
    <t>Pisos frios</t>
  </si>
  <si>
    <t>Laboratórios</t>
  </si>
  <si>
    <t>Almoxarifado/galpões</t>
  </si>
  <si>
    <t>Oficinas</t>
  </si>
  <si>
    <t>*** Produtividade indicada a menor</t>
  </si>
  <si>
    <t>Áreas com espaços livres – saguão, hall e salão</t>
  </si>
  <si>
    <t>Banheiros</t>
  </si>
  <si>
    <t>Pisos pavimentados adjacentes/contínuos às edificações</t>
  </si>
  <si>
    <t>Varrição de passeios e arruamentos</t>
  </si>
  <si>
    <t>Pátios e áreas verdes com alta frequência</t>
  </si>
  <si>
    <t>Pátios e áreas verdes com média frequência</t>
  </si>
  <si>
    <t>Pátios e áreas verdes com baixa frequência</t>
  </si>
  <si>
    <t>Coleta de detritos em pátios e áreas verdes com frequência diária</t>
  </si>
  <si>
    <t>Áreas hospitalares e assemelhadas</t>
  </si>
  <si>
    <t>Frequência no mês</t>
  </si>
  <si>
    <t>Jornada de Trabalho no mês/semestre</t>
  </si>
  <si>
    <t>Face externa com exposição a situação de risco</t>
  </si>
  <si>
    <t>Face externa sem exposição a situação de risco</t>
  </si>
  <si>
    <t>Face interna</t>
  </si>
  <si>
    <t>Fachadas envidraçadas</t>
  </si>
  <si>
    <t>Valor mensal dos serviços</t>
  </si>
  <si>
    <t>Tipo de área</t>
  </si>
  <si>
    <t>Preço mensal unitário</t>
  </si>
  <si>
    <t>Periodicidade (diária)</t>
  </si>
  <si>
    <t>Área total à ser limpa</t>
  </si>
  <si>
    <t>Qtde funcionários por serviço</t>
  </si>
  <si>
    <t>Prod.</t>
  </si>
  <si>
    <t>Almoxarifados/ galpões</t>
  </si>
  <si>
    <t>Pisos Pavimentados adjacentes/contíguos às edificações</t>
  </si>
  <si>
    <t>Varrição de Passeios e Arruamentos</t>
  </si>
  <si>
    <t>Pátios e Áreas Verdes com Alta Frequência</t>
  </si>
  <si>
    <t>Pátios e Áreas Verdes com Média Frequência</t>
  </si>
  <si>
    <t>Pátios e Áreas Verdes com Baixa Frequência</t>
  </si>
  <si>
    <t>Coleta de Detritos em Pátios e Áreas Verdes com Frequência Diária</t>
  </si>
  <si>
    <t>Áreas hospitalares  e assemelhadas</t>
  </si>
  <si>
    <t>Periodicidade (semestral)</t>
  </si>
  <si>
    <t>Face externa com risco</t>
  </si>
  <si>
    <t>Face externa sem risco</t>
  </si>
  <si>
    <t>Fachada envidraçadas</t>
  </si>
  <si>
    <t>Total Geral</t>
  </si>
  <si>
    <t xml:space="preserve">Quantidade Estimada de Postos </t>
  </si>
  <si>
    <t>Equipamentos e Valores estimados</t>
  </si>
  <si>
    <t>UNI</t>
  </si>
  <si>
    <t>Descrição do produto</t>
  </si>
  <si>
    <t>QTD/ EST.</t>
  </si>
  <si>
    <t>VU/R$</t>
  </si>
  <si>
    <t>Tempo de Vida útil (meses)</t>
  </si>
  <si>
    <t>Custo Efetivo Mensal</t>
  </si>
  <si>
    <t>Unidade</t>
  </si>
  <si>
    <t>Aspirador de pó/água profissional - 2.400W - 220 V (com extensão elétrica e demais acessórios necessários).</t>
  </si>
  <si>
    <t>ok</t>
  </si>
  <si>
    <t>Carrinho coletor de lixo 372 litros</t>
  </si>
  <si>
    <t>Carrinho Mop (carro de limpeza com sistema de 2 águas, uma para solução limpadora e outra para água limpa).</t>
  </si>
  <si>
    <t>Enceradeira profissional 550 W - 220V (com extensão elétrica, fibras e demais acessórios necessários).</t>
  </si>
  <si>
    <t>Escada dobrável em alumínio com 7 degraus</t>
  </si>
  <si>
    <t>Lavadora de alta pressão com, no mínimo, 2200 libras e 1600 W de potência - 220 V (com extensão elétrica, fibras e demais acessórios necessários.</t>
  </si>
  <si>
    <t>Relógio de ponto biométrico</t>
  </si>
  <si>
    <t>TOTAL MENSAL</t>
  </si>
  <si>
    <t>TOTAL POR FUNCIONÁRIO</t>
  </si>
  <si>
    <t>colaboradores</t>
  </si>
  <si>
    <t xml:space="preserve">Equipamentos a sereem locados durante a execução contratual </t>
  </si>
  <si>
    <t>Qtde.</t>
  </si>
  <si>
    <t>Valor Unitário</t>
  </si>
  <si>
    <t>valor anual</t>
  </si>
  <si>
    <t>Custo mensal</t>
  </si>
  <si>
    <t>Locação anual de plataforma elevatória</t>
  </si>
  <si>
    <t>TOTAL POR FUNCIONÁRIO NO MÊS</t>
  </si>
  <si>
    <t>VALOR TOTAL POR EMPREGADO POR MÊS DE EQUIPAMENTOS</t>
  </si>
  <si>
    <t>QTD/ Ano</t>
  </si>
  <si>
    <t>R$/ TOTAL</t>
  </si>
  <si>
    <t>Boné.</t>
  </si>
  <si>
    <t>Calça comprida em brim com bolsos laterais e traseiros.</t>
  </si>
  <si>
    <t>Calça impermeável.</t>
  </si>
  <si>
    <t>Camisetas manga longa, malha fria, gola esporte, com emblema pintado da empresa.</t>
  </si>
  <si>
    <t>Camisetas manga curta, malha fria, 100% algodão, gola esporte, com o emblema pintado da empresa.</t>
  </si>
  <si>
    <t>Casaco tipo moletom, material algodão.</t>
  </si>
  <si>
    <t>Casaco ou jaqueta em nylon, com zíper na frente e bolsos laterais, com forro interno.</t>
  </si>
  <si>
    <t>Jalecos em brim, manga curta, com logomarca da empresa impressa ou bordada no bolso.</t>
  </si>
  <si>
    <t>TOTAL ANUAL</t>
  </si>
  <si>
    <t>meses</t>
  </si>
  <si>
    <t>EPIs</t>
  </si>
  <si>
    <t>Par</t>
  </si>
  <si>
    <t>Calçado ocupacional tipo bota Classe II (impermeável), confeccionado com policloreto de vinila (PVC) e borracha nitrílica, cano longo.</t>
  </si>
  <si>
    <t>Calçado ocupacional, confeccionado em couro hidrofugado, palmilha montada pelo sistema strobel, com bico de conformação e solado de poliuretano bidensidade injetada direto. A palmilha deve ser antibacteriana.</t>
  </si>
  <si>
    <t>Capa de Chuva</t>
  </si>
  <si>
    <t>Luva de látex forrada com palma antiderrapante, cano longo.</t>
  </si>
  <si>
    <t>okok</t>
  </si>
  <si>
    <t>Luva Nitrílica, na cor verde, punho longo, 45cm.</t>
  </si>
  <si>
    <t>Máscara descartável, respirador semifacial PFF2, para proteção contra poeiras, névoas e fumos</t>
  </si>
  <si>
    <t>Óculos de proteção contra partículas multidirecionais, incolor, ou com lente fumê.</t>
  </si>
  <si>
    <t>Protetor Solar PFS 30, 120g</t>
  </si>
  <si>
    <t>Protetor auricular (em caso de exposição a ruído)</t>
  </si>
  <si>
    <t>Embalagem 100ml</t>
  </si>
  <si>
    <t>REPELENTE CONTRA INSETOS CONTÉM DEET; EFICAZ NA PROTEÇÃO CONTRA OS MOSQUITOS CULEX QUINQUEFASCIATUS, AEDES AEGYPTI, ANOPHELES SP E CARRAPATOS RHIPICEPHALUS SANGUINEUS; 10 HORAS DE EFICÁCIA REPELENTE; SECAGEM RÁPIDA; ESSÊNCIA AGRADÁVEL QUE REDUZ O CHEIRO DO ATIVO REPELENTE; DERMATOLOGICAMENTE TESTADO; HIPOALERGÊNICO; (COMPOSIÇÃO: AQUA, ALCOHOL, DIETHYL TOLUAMIDE, GLYCERIN, ALOE BARBADENSIS EXTRACT, CHAMOMILLA RECUTITA FLOWER EXTRACT, PHENOXYETHANOL/ METHYLPARABEN/ ETHYLPARABEN/ BUTYLPARABEN/ PROPYLPARABEN, PARFUM (ALPHA-ISOMETHYL IONONE, AMYL CINNAMAL, AMYLCINNAMYL ALCOHOL, BENZYL ALCOHOL, BENZYL BENZOATE, BENZYL SALICYLATE, CITRAL, CITRONELLOL, COUMARIN, GERANIOL, HEXYL CINNAMAL, LIMONENE, LINALOOL). INGREDIENTE ATIVO: DIETHYL TOLUAMIDE – 15% ).</t>
  </si>
  <si>
    <t>R$/ TOTAL ANO</t>
  </si>
  <si>
    <t>Galão com 5 litros</t>
  </si>
  <si>
    <r>
      <rPr>
        <b/>
        <sz val="9"/>
        <color theme="1"/>
        <rFont val="Arial"/>
        <family val="2"/>
        <charset val="1"/>
      </rPr>
      <t>Água Sanitária</t>
    </r>
    <r>
      <rPr>
        <sz val="9"/>
        <color theme="1"/>
        <rFont val="Arial"/>
        <family val="2"/>
        <charset val="1"/>
      </rPr>
      <t>. Composição química: hipoclorito de sódio, hidróxido de sódio, cloreto, teor cloro ativo, varia de 2 a 2,50%. Cor incolor. Embalagem plástica com tampa lacrada.</t>
    </r>
  </si>
  <si>
    <r>
      <rPr>
        <b/>
        <sz val="9"/>
        <color theme="1"/>
        <rFont val="Arial"/>
        <family val="2"/>
        <charset val="1"/>
      </rPr>
      <t>Álcool em gel</t>
    </r>
    <r>
      <rPr>
        <sz val="9"/>
        <color theme="1"/>
        <rFont val="Arial"/>
        <family val="2"/>
        <charset val="1"/>
      </rPr>
      <t>, anti séptico para as mãos, álcool etílico 70%.</t>
    </r>
  </si>
  <si>
    <t>Litro</t>
  </si>
  <si>
    <r>
      <rPr>
        <b/>
        <sz val="9"/>
        <color theme="1"/>
        <rFont val="Arial"/>
        <family val="2"/>
        <charset val="1"/>
      </rPr>
      <t>Álcool etílico líquido</t>
    </r>
    <r>
      <rPr>
        <sz val="9"/>
        <color theme="1"/>
        <rFont val="Arial"/>
        <family val="2"/>
        <charset val="1"/>
      </rPr>
      <t>, 46º INPM.</t>
    </r>
  </si>
  <si>
    <r>
      <rPr>
        <b/>
        <sz val="9"/>
        <color theme="1"/>
        <rFont val="Arial"/>
        <family val="2"/>
        <charset val="1"/>
      </rPr>
      <t>Alvejante para superfícies minerais e desincrustante ácido</t>
    </r>
    <r>
      <rPr>
        <sz val="9"/>
        <color theme="1"/>
        <rFont val="Arial"/>
        <family val="2"/>
        <charset val="1"/>
      </rPr>
      <t>. Produto de Referência: Audax Concentrax Limpa Pedra. O uso geral dele é limpeza de superİcies minerais e remoção de liga contendo cimento e areia. Ideal para calçadas de pedras, pisos rústicos, crostas de lama, pisos encardidos, pisos com respingos de concreto ou ferrugem e pisos de pedra em geral.</t>
    </r>
  </si>
  <si>
    <r>
      <rPr>
        <b/>
        <sz val="9"/>
        <color theme="1"/>
        <rFont val="Arial"/>
        <family val="2"/>
        <charset val="1"/>
      </rPr>
      <t>Desinfetante líquido</t>
    </r>
    <r>
      <rPr>
        <sz val="9"/>
        <color theme="1"/>
        <rFont val="Arial"/>
        <family val="2"/>
        <charset val="1"/>
      </rPr>
      <t xml:space="preserve"> (Lisoform), para ser utilizado nos banheiros em substituição a água sanitária.</t>
    </r>
  </si>
  <si>
    <r>
      <rPr>
        <b/>
        <sz val="9"/>
        <color theme="1"/>
        <rFont val="Arial"/>
        <family val="2"/>
        <charset val="1"/>
      </rPr>
      <t>Desinfetante</t>
    </r>
    <r>
      <rPr>
        <sz val="9"/>
        <color theme="1"/>
        <rFont val="Arial"/>
        <family val="2"/>
        <charset val="1"/>
      </rPr>
      <t>. Contém hipoclorito de sódio, perfume e água. Usado para higienização.</t>
    </r>
  </si>
  <si>
    <t>Frasco com 400ml</t>
  </si>
  <si>
    <r>
      <rPr>
        <b/>
        <sz val="9"/>
        <color theme="1"/>
        <rFont val="Arial"/>
        <family val="2"/>
        <charset val="1"/>
      </rPr>
      <t xml:space="preserve">Desodorizador </t>
    </r>
    <r>
      <rPr>
        <sz val="9"/>
        <color theme="1"/>
        <rFont val="Arial"/>
        <family val="2"/>
        <charset val="1"/>
      </rPr>
      <t>de ar 400 ml.</t>
    </r>
  </si>
  <si>
    <r>
      <rPr>
        <b/>
        <sz val="9"/>
        <color theme="1"/>
        <rFont val="Arial"/>
        <family val="2"/>
        <charset val="1"/>
      </rPr>
      <t>Detergente clorado alcalino</t>
    </r>
    <r>
      <rPr>
        <sz val="9"/>
        <color theme="1"/>
        <rFont val="Arial"/>
        <family val="2"/>
        <charset val="1"/>
      </rPr>
      <t>. Líquido límpido viscoso de coloração amarelada e odor característico, composto pela mistura de substância nocivas como Hidróxido de Sódio (10-20%), Hipoclorito de Sódio 12% (20 -30%). apresenta pH básico (12,0-14,0), teor de cloro de 2,40 - 2,60 e densidade a 25ºC de 1,100 a 1,200. Este detergente é solúvel em água.</t>
    </r>
  </si>
  <si>
    <r>
      <rPr>
        <b/>
        <sz val="9"/>
        <color theme="1"/>
        <rFont val="Arial"/>
        <family val="2"/>
        <charset val="1"/>
      </rPr>
      <t>Detergente</t>
    </r>
    <r>
      <rPr>
        <sz val="9"/>
        <color theme="1"/>
        <rFont val="Arial"/>
        <family val="2"/>
        <charset val="1"/>
      </rPr>
      <t>. Composição: pH neutro, biodegradável e outras substâncias. Líquido. Para uso na remoção de gordura e sujeira em geral.</t>
    </r>
  </si>
  <si>
    <r>
      <rPr>
        <b/>
        <sz val="9"/>
        <color theme="1"/>
        <rFont val="Arial"/>
        <family val="2"/>
        <charset val="1"/>
      </rPr>
      <t>Fibra abrasiva para limpeza pesada</t>
    </r>
    <r>
      <rPr>
        <sz val="9"/>
        <color theme="1"/>
        <rFont val="Arial"/>
        <family val="2"/>
        <charset val="1"/>
      </rPr>
      <t>. Possui coloração verde escura de abrasão intensa para utilização em superfícies que apresentam sujeiras persistentes, tais como pisos, paredes, etc. Dimensões mínimas 115 x 290 mm.</t>
    </r>
  </si>
  <si>
    <t>Disco</t>
  </si>
  <si>
    <r>
      <rPr>
        <b/>
        <sz val="9"/>
        <color theme="1"/>
        <rFont val="Arial"/>
        <family val="2"/>
        <charset val="1"/>
      </rPr>
      <t>Esponja abrasiva</t>
    </r>
    <r>
      <rPr>
        <sz val="9"/>
        <color theme="1"/>
        <rFont val="Arial"/>
        <family val="2"/>
        <charset val="1"/>
      </rPr>
      <t xml:space="preserve"> branca com enceradeira (compatível com a enceradeira a ser fornecida pela empresa)</t>
    </r>
  </si>
  <si>
    <r>
      <rPr>
        <b/>
        <sz val="9"/>
        <color theme="1"/>
        <rFont val="Arial"/>
        <family val="2"/>
        <charset val="1"/>
      </rPr>
      <t>Esponja dupla face</t>
    </r>
    <r>
      <rPr>
        <sz val="9"/>
        <color theme="1"/>
        <rFont val="Arial"/>
        <family val="2"/>
        <charset val="1"/>
      </rPr>
      <t>. Material espuma/fibra sintética, formato retangular, comprimento mínimo 110 mm, largura mínima 75 mm, espessura mínima 20 mm. Aplicação na limpeza em geral.</t>
    </r>
  </si>
  <si>
    <r>
      <rPr>
        <b/>
        <sz val="9"/>
        <color theme="1"/>
        <rFont val="Arial"/>
        <family val="2"/>
        <charset val="1"/>
      </rPr>
      <t xml:space="preserve">Flanela </t>
    </r>
    <r>
      <rPr>
        <sz val="9"/>
        <color theme="1"/>
        <rFont val="Arial"/>
        <family val="2"/>
        <charset val="1"/>
      </rPr>
      <t>na cor laranja, 100% algodão, para uso geral. Tamanho mínimo 50 X 30 cm.</t>
    </r>
  </si>
  <si>
    <t>Frasco com 500 ml</t>
  </si>
  <si>
    <r>
      <rPr>
        <b/>
        <sz val="9"/>
        <color theme="1"/>
        <rFont val="Arial"/>
        <family val="2"/>
        <charset val="1"/>
      </rPr>
      <t>Limpa vidros spray</t>
    </r>
    <r>
      <rPr>
        <sz val="9"/>
        <color theme="1"/>
        <rFont val="Arial"/>
        <family val="2"/>
        <charset val="1"/>
      </rPr>
      <t>, com pulverizador roscável em forma de gatilho e reaproveitável. Composto a base de lauril éter sulfato de sódio. Frasco com 500 ml.</t>
    </r>
  </si>
  <si>
    <t>Galão com 05 litros</t>
  </si>
  <si>
    <r>
      <rPr>
        <b/>
        <sz val="9"/>
        <color theme="1"/>
        <rFont val="Arial"/>
        <family val="2"/>
        <charset val="1"/>
      </rPr>
      <t>Limpador de rejuntes</t>
    </r>
    <r>
      <rPr>
        <sz val="9"/>
        <color theme="1"/>
        <rFont val="Arial"/>
        <family val="2"/>
        <charset val="1"/>
      </rPr>
      <t>.</t>
    </r>
  </si>
  <si>
    <r>
      <rPr>
        <b/>
        <sz val="9"/>
        <color theme="1"/>
        <rFont val="Arial"/>
        <family val="2"/>
        <charset val="1"/>
      </rPr>
      <t>Limpador multiuso</t>
    </r>
    <r>
      <rPr>
        <sz val="9"/>
        <color theme="1"/>
        <rFont val="Arial"/>
        <family val="2"/>
        <charset val="1"/>
      </rPr>
      <t xml:space="preserve"> e desengordurante para limpeza geral. Tampa tipo flip com bico dosador. Composição básica: alquil benzeno sulfonato de sódio, álcool etoxilado, coadjuvantes, água e conservante, fragrância.</t>
    </r>
  </si>
  <si>
    <r>
      <rPr>
        <b/>
        <sz val="9"/>
        <color theme="1"/>
        <rFont val="Arial"/>
        <family val="2"/>
        <charset val="1"/>
      </rPr>
      <t xml:space="preserve">Limpador </t>
    </r>
    <r>
      <rPr>
        <sz val="9"/>
        <color theme="1"/>
        <rFont val="Arial"/>
        <family val="2"/>
        <charset val="1"/>
      </rPr>
      <t xml:space="preserve">Multiuso Para Limpeza De </t>
    </r>
    <r>
      <rPr>
        <b/>
        <sz val="9"/>
        <color theme="1"/>
        <rFont val="Arial"/>
        <family val="2"/>
        <charset val="1"/>
      </rPr>
      <t>Quadro Branco</t>
    </r>
    <r>
      <rPr>
        <sz val="9"/>
        <color theme="1"/>
        <rFont val="Arial"/>
        <family val="2"/>
        <charset val="1"/>
      </rPr>
      <t xml:space="preserve"> Escolar.</t>
    </r>
  </si>
  <si>
    <r>
      <rPr>
        <b/>
        <sz val="9"/>
        <color theme="1"/>
        <rFont val="Arial"/>
        <family val="2"/>
        <charset val="1"/>
      </rPr>
      <t xml:space="preserve">Mop </t>
    </r>
    <r>
      <rPr>
        <sz val="9"/>
        <color theme="1"/>
        <rFont val="Arial"/>
        <family val="2"/>
        <charset val="1"/>
      </rPr>
      <t>para pó/seco tamanho grande.</t>
    </r>
  </si>
  <si>
    <t>Caixa com 08 rolos</t>
  </si>
  <si>
    <r>
      <rPr>
        <b/>
        <sz val="9"/>
        <color theme="1"/>
        <rFont val="Arial"/>
        <family val="2"/>
        <charset val="1"/>
      </rPr>
      <t>Papel higiênico em rolo</t>
    </r>
    <r>
      <rPr>
        <sz val="9"/>
        <color theme="1"/>
        <rFont val="Arial"/>
        <family val="2"/>
        <charset val="1"/>
      </rPr>
      <t xml:space="preserve"> de 300 metros.</t>
    </r>
  </si>
  <si>
    <t>Caixa com 03 unidades</t>
  </si>
  <si>
    <r>
      <rPr>
        <b/>
        <sz val="9"/>
        <color theme="1"/>
        <rFont val="Arial"/>
        <family val="2"/>
        <charset val="1"/>
      </rPr>
      <t>Pastilha adesiva</t>
    </r>
    <r>
      <rPr>
        <sz val="9"/>
        <color theme="1"/>
        <rFont val="Arial"/>
        <family val="2"/>
        <charset val="1"/>
      </rPr>
      <t xml:space="preserve"> desinfetante para vaso sanitário.</t>
    </r>
  </si>
  <si>
    <r>
      <rPr>
        <b/>
        <sz val="9"/>
        <color theme="1"/>
        <rFont val="Arial"/>
        <family val="2"/>
        <charset val="1"/>
      </rPr>
      <t>Desinfetante de uso geral</t>
    </r>
    <r>
      <rPr>
        <sz val="9"/>
        <color theme="1"/>
        <rFont val="Arial"/>
        <family val="2"/>
        <charset val="1"/>
      </rPr>
      <t xml:space="preserve">, com tensoativo iônico, fragrância, corante e água. Princípio ativo: </t>
    </r>
    <r>
      <rPr>
        <b/>
        <sz val="9"/>
        <color theme="1"/>
        <rFont val="Arial"/>
        <family val="2"/>
        <charset val="1"/>
      </rPr>
      <t>Cloreto de benzalcônio: 0,75%</t>
    </r>
  </si>
  <si>
    <r>
      <rPr>
        <b/>
        <sz val="9"/>
        <color theme="1"/>
        <rFont val="Arial"/>
        <family val="2"/>
        <charset val="1"/>
      </rPr>
      <t>Sabão em barra</t>
    </r>
    <r>
      <rPr>
        <sz val="9"/>
        <color theme="1"/>
        <rFont val="Arial"/>
        <family val="2"/>
        <charset val="1"/>
      </rPr>
      <t xml:space="preserve"> 200 gramas. Glicerinado, neutro, multiuso, biodegradável, para limpeza em geral.</t>
    </r>
  </si>
  <si>
    <t>Kg</t>
  </si>
  <si>
    <r>
      <rPr>
        <b/>
        <sz val="9"/>
        <color theme="1"/>
        <rFont val="Arial"/>
        <family val="2"/>
        <charset val="1"/>
      </rPr>
      <t>Sabão em pó</t>
    </r>
    <r>
      <rPr>
        <sz val="9"/>
        <color theme="1"/>
        <rFont val="Arial"/>
        <family val="2"/>
        <charset val="1"/>
      </rPr>
      <t>. Biodegradável com amaciante. Aplicação: lavar roupa e limpeza geral. Embalagem com 1 kg.</t>
    </r>
  </si>
  <si>
    <r>
      <rPr>
        <b/>
        <sz val="9"/>
        <color theme="1"/>
        <rFont val="Arial"/>
        <family val="2"/>
        <charset val="1"/>
      </rPr>
      <t>Sabonete líquido</t>
    </r>
    <r>
      <rPr>
        <sz val="9"/>
        <color theme="1"/>
        <rFont val="Arial"/>
        <family val="2"/>
        <charset val="1"/>
      </rPr>
      <t>, hidratante e com fragrância.</t>
    </r>
  </si>
  <si>
    <r>
      <rPr>
        <b/>
        <sz val="9"/>
        <color theme="1"/>
        <rFont val="Arial"/>
        <family val="2"/>
        <charset val="1"/>
      </rPr>
      <t>Saco alvejado</t>
    </r>
    <r>
      <rPr>
        <sz val="9"/>
        <color theme="1"/>
        <rFont val="Arial"/>
        <family val="2"/>
        <charset val="1"/>
      </rPr>
      <t>. Características: duplo, material 100% algodão, tipo alvejado, tamanho mínimo de 50 x 70 cm.</t>
    </r>
  </si>
  <si>
    <t>Pacote com 100 unidades</t>
  </si>
  <si>
    <r>
      <rPr>
        <b/>
        <sz val="9"/>
        <color theme="1"/>
        <rFont val="Arial"/>
        <family val="2"/>
        <charset val="1"/>
      </rPr>
      <t>Saco plástico para lixo. Capacidade 100 litros</t>
    </r>
    <r>
      <rPr>
        <sz val="9"/>
        <color theme="1"/>
        <rFont val="Arial"/>
        <family val="2"/>
        <charset val="1"/>
      </rPr>
      <t>, cor preta. Largura mínima 75 cm e altura mínima 100 cm. Material polietileno, opaco, super resistente. Aplicação coleta de lixo.</t>
    </r>
  </si>
  <si>
    <r>
      <rPr>
        <b/>
        <sz val="9"/>
        <color theme="1"/>
        <rFont val="Arial"/>
        <family val="2"/>
        <charset val="1"/>
      </rPr>
      <t>Saco plástico para lixo. Capacidade 40 litros</t>
    </r>
    <r>
      <rPr>
        <sz val="9"/>
        <color theme="1"/>
        <rFont val="Arial"/>
        <family val="2"/>
        <charset val="1"/>
      </rPr>
      <t>, cor preta. Largura mínima 75 cm e altura mínima 100 cm. Material polietileno. Para uso doméstico. Pacote com 100 unidades.</t>
    </r>
  </si>
  <si>
    <t>Frasco com 250ml</t>
  </si>
  <si>
    <r>
      <rPr>
        <b/>
        <sz val="9"/>
        <color theme="1"/>
        <rFont val="Arial"/>
        <family val="2"/>
        <charset val="1"/>
      </rPr>
      <t>Saponáceo líquido cremoso</t>
    </r>
    <r>
      <rPr>
        <sz val="9"/>
        <color theme="1"/>
        <rFont val="Arial"/>
        <family val="2"/>
        <charset val="1"/>
      </rPr>
      <t>, limpeza e brilho sem riscar. Composição: linear arquibenzeno, sulfonato de sódio.</t>
    </r>
  </si>
  <si>
    <t>Pacote com 1.000 unidades</t>
  </si>
  <si>
    <r>
      <rPr>
        <b/>
        <sz val="9"/>
        <color theme="1"/>
        <rFont val="Arial"/>
        <family val="2"/>
        <charset val="1"/>
      </rPr>
      <t>Toalha de papel</t>
    </r>
    <r>
      <rPr>
        <sz val="9"/>
        <color theme="1"/>
        <rFont val="Arial"/>
        <family val="2"/>
        <charset val="1"/>
      </rPr>
      <t>. Cor creme. Composição: 100% fibras celulósicas. Toalha interfolhas com duas dobras. Formato: 19,5 cm x 20,5 cm.</t>
    </r>
  </si>
  <si>
    <t>Pacote com 10 unidades</t>
  </si>
  <si>
    <t>Pacote com 12 unidades</t>
  </si>
  <si>
    <r>
      <rPr>
        <b/>
        <sz val="9"/>
        <color theme="1"/>
        <rFont val="Arial"/>
        <family val="2"/>
        <charset val="1"/>
      </rPr>
      <t>Balde plástico</t>
    </r>
    <r>
      <rPr>
        <sz val="9"/>
        <color theme="1"/>
        <rFont val="Arial"/>
        <family val="2"/>
        <charset val="1"/>
      </rPr>
      <t xml:space="preserve"> com capacidade para 15 litros. Material plástico com alça metálica, sem tampa, formato cilíndrico, para uso geral.</t>
    </r>
  </si>
  <si>
    <r>
      <rPr>
        <b/>
        <sz val="9"/>
        <color theme="1"/>
        <rFont val="Arial"/>
        <family val="2"/>
        <charset val="1"/>
      </rPr>
      <t xml:space="preserve">Borrifador </t>
    </r>
    <r>
      <rPr>
        <sz val="9"/>
        <color theme="1"/>
        <rFont val="Arial"/>
        <family val="2"/>
        <charset val="1"/>
      </rPr>
      <t>de plástico 500 ml, para distribuição dos materiais de limpeza.</t>
    </r>
  </si>
  <si>
    <r>
      <rPr>
        <b/>
        <sz val="9"/>
        <color theme="1"/>
        <rFont val="Arial"/>
        <family val="2"/>
        <charset val="1"/>
      </rPr>
      <t xml:space="preserve">Dispenser </t>
    </r>
    <r>
      <rPr>
        <sz val="9"/>
        <color theme="1"/>
        <rFont val="Arial"/>
        <family val="2"/>
        <charset val="1"/>
      </rPr>
      <t>para sabonete líquido e álcool em gel, plástico branco, capacidade para 800ml, para fixação na parede, acionamento manual.</t>
    </r>
  </si>
  <si>
    <r>
      <rPr>
        <b/>
        <sz val="9"/>
        <color theme="1"/>
        <rFont val="Arial"/>
        <family val="2"/>
        <charset val="1"/>
      </rPr>
      <t>Escova oval para lavar roupa</t>
    </r>
    <r>
      <rPr>
        <sz val="9"/>
        <color theme="1"/>
        <rFont val="Arial"/>
        <family val="2"/>
        <charset val="1"/>
      </rPr>
      <t>. Material: corpo de madeira, tratamento superficial envernizado, cerdas sintéticas.</t>
    </r>
  </si>
  <si>
    <r>
      <rPr>
        <b/>
        <sz val="9"/>
        <color theme="1"/>
        <rFont val="Arial"/>
        <family val="2"/>
        <charset val="1"/>
      </rPr>
      <t>Escova para vaso sanitário</t>
    </r>
    <r>
      <rPr>
        <sz val="9"/>
        <color theme="1"/>
        <rFont val="Arial"/>
        <family val="2"/>
        <charset val="1"/>
      </rPr>
      <t>, cabo em plástico resistente.</t>
    </r>
  </si>
  <si>
    <r>
      <rPr>
        <b/>
        <sz val="9"/>
        <color theme="1"/>
        <rFont val="Arial"/>
        <family val="2"/>
        <charset val="1"/>
      </rPr>
      <t>Espanador de pó</t>
    </r>
    <r>
      <rPr>
        <sz val="9"/>
        <color theme="1"/>
        <rFont val="Arial"/>
        <family val="2"/>
        <charset val="1"/>
      </rPr>
      <t>. Cabo em madeira, comprimento mínimo do cabo, 40 cm.</t>
    </r>
  </si>
  <si>
    <r>
      <rPr>
        <b/>
        <sz val="9"/>
        <color theme="1"/>
        <rFont val="Arial"/>
        <family val="2"/>
        <charset val="1"/>
      </rPr>
      <t xml:space="preserve">Extensão elétrica </t>
    </r>
    <r>
      <rPr>
        <sz val="9"/>
        <color theme="1"/>
        <rFont val="Arial"/>
        <family val="2"/>
        <charset val="1"/>
      </rPr>
      <t>50 metros.</t>
    </r>
  </si>
  <si>
    <r>
      <rPr>
        <b/>
        <sz val="9"/>
        <color theme="1"/>
        <rFont val="Arial"/>
        <family val="2"/>
        <charset val="1"/>
      </rPr>
      <t>Extensor telescópio</t>
    </r>
    <r>
      <rPr>
        <sz val="9"/>
        <color theme="1"/>
        <rFont val="Arial"/>
        <family val="2"/>
        <charset val="1"/>
      </rPr>
      <t xml:space="preserve"> para limpeza em altura, extensível de 2,5 a 5,0 metros, produzido em alumínio.</t>
    </r>
  </si>
  <si>
    <r>
      <rPr>
        <b/>
        <sz val="9"/>
        <color theme="1"/>
        <rFont val="Arial"/>
        <family val="2"/>
        <charset val="1"/>
      </rPr>
      <t>Mangueira de jardim</t>
    </r>
    <r>
      <rPr>
        <sz val="9"/>
        <color theme="1"/>
        <rFont val="Arial"/>
        <family val="2"/>
        <charset val="1"/>
      </rPr>
      <t xml:space="preserve"> com 50 metros, anti torção, reforçada, com conexões de engate rápido inclusas.</t>
    </r>
  </si>
  <si>
    <r>
      <rPr>
        <b/>
        <sz val="9"/>
        <color theme="1"/>
        <rFont val="Arial"/>
        <family val="2"/>
        <charset val="1"/>
      </rPr>
      <t>Pá para lixo</t>
    </r>
    <r>
      <rPr>
        <sz val="9"/>
        <color theme="1"/>
        <rFont val="Arial"/>
        <family val="2"/>
        <charset val="1"/>
      </rPr>
      <t xml:space="preserve"> de uso doméstico. Material coletor plástico, material cabo plástico, medindo no mínimo 1,20 cm. Quantidade de borrachas: 02.</t>
    </r>
  </si>
  <si>
    <r>
      <rPr>
        <b/>
        <sz val="9"/>
        <color theme="1"/>
        <rFont val="Arial"/>
        <family val="2"/>
        <charset val="1"/>
      </rPr>
      <t xml:space="preserve">Papeleiras </t>
    </r>
    <r>
      <rPr>
        <sz val="9"/>
        <color theme="1"/>
        <rFont val="Arial"/>
        <family val="2"/>
        <charset val="1"/>
      </rPr>
      <t>para papel toalha 2 dobras, na cor branca.</t>
    </r>
  </si>
  <si>
    <r>
      <rPr>
        <b/>
        <sz val="9"/>
        <color theme="1"/>
        <rFont val="Arial"/>
        <family val="2"/>
        <charset val="1"/>
      </rPr>
      <t xml:space="preserve">Placas </t>
    </r>
    <r>
      <rPr>
        <sz val="9"/>
        <color theme="1"/>
        <rFont val="Arial"/>
        <family val="2"/>
        <charset val="1"/>
      </rPr>
      <t>sinalizadoras “limpeza em andamento”.</t>
    </r>
  </si>
  <si>
    <r>
      <rPr>
        <b/>
        <sz val="9"/>
        <color theme="1"/>
        <rFont val="Arial"/>
        <family val="2"/>
        <charset val="1"/>
      </rPr>
      <t xml:space="preserve">Placas </t>
    </r>
    <r>
      <rPr>
        <sz val="9"/>
        <color theme="1"/>
        <rFont val="Arial"/>
        <family val="2"/>
        <charset val="1"/>
      </rPr>
      <t>sinalizadoras “piso molhado”.</t>
    </r>
  </si>
  <si>
    <r>
      <rPr>
        <b/>
        <sz val="9"/>
        <color theme="1"/>
        <rFont val="Arial"/>
        <family val="2"/>
        <charset val="1"/>
      </rPr>
      <t>Porta Papel Rolão Metal</t>
    </r>
    <r>
      <rPr>
        <sz val="9"/>
        <color theme="1"/>
        <rFont val="Arial"/>
        <family val="2"/>
        <charset val="1"/>
      </rPr>
      <t>, com pintura eletrostática, com serrilhado para corte de papel, resistente a corrosão.</t>
    </r>
  </si>
  <si>
    <r>
      <rPr>
        <b/>
        <sz val="9"/>
        <color theme="1"/>
        <rFont val="Arial"/>
        <family val="2"/>
        <charset val="1"/>
      </rPr>
      <t xml:space="preserve">Rodo </t>
    </r>
    <r>
      <rPr>
        <sz val="9"/>
        <color theme="1"/>
        <rFont val="Arial"/>
        <family val="2"/>
        <charset val="1"/>
      </rPr>
      <t>com cabo rosqueável. Material cabo plástico. Material suporte plástico ou metal com comprimento de 40 cm, cabo com no mínimo 1,20 cm. Quantidade de borrachas: 02.</t>
    </r>
  </si>
  <si>
    <r>
      <rPr>
        <b/>
        <sz val="9"/>
        <color theme="1"/>
        <rFont val="Arial"/>
        <family val="2"/>
        <charset val="1"/>
      </rPr>
      <t>Vassoura com nylon</t>
    </r>
    <r>
      <rPr>
        <sz val="9"/>
        <color theme="1"/>
        <rFont val="Arial"/>
        <family val="2"/>
        <charset val="1"/>
      </rPr>
      <t xml:space="preserve"> com cabo plástico. Com dimensões mínimas de 11 cm e espessura de 0,80 mm, dispostas em, no mínimo, de 4 carreiras de tufos justapostos e homogêneos, de modo a preencher toda a base. A fixação das cerdas e a base deverá ser firme e resistente. Cabo reto e rosqueado com comprimento mínimo de 1,20 m. Aplicação limpeza em geral.</t>
    </r>
  </si>
  <si>
    <t>Periodicidade</t>
  </si>
  <si>
    <t>Ambientes</t>
  </si>
  <si>
    <t xml:space="preserve">Anual </t>
  </si>
  <si>
    <t xml:space="preserve">Mensal </t>
  </si>
  <si>
    <t xml:space="preserve">Semanal </t>
  </si>
  <si>
    <t>Diária</t>
  </si>
  <si>
    <t>Metragem Ambiente</t>
  </si>
  <si>
    <t>tipos</t>
  </si>
  <si>
    <t>média diária = área x frequência (m2)</t>
  </si>
  <si>
    <t>Ambiente</t>
  </si>
  <si>
    <t>Tipo</t>
  </si>
  <si>
    <t>Medida do Campus</t>
  </si>
  <si>
    <t>Média Diária (área x frequência) m2</t>
  </si>
  <si>
    <r>
      <rPr>
        <b/>
        <sz val="11"/>
        <color theme="1"/>
        <rFont val="Calibri"/>
        <family val="2"/>
        <charset val="1"/>
      </rPr>
      <t xml:space="preserve">Tipo de Ambiente </t>
    </r>
    <r>
      <rPr>
        <b/>
        <sz val="8"/>
        <color theme="1"/>
        <rFont val="Calibri"/>
        <family val="2"/>
        <charset val="1"/>
      </rPr>
      <t>(preencher conforme coluna L)</t>
    </r>
  </si>
  <si>
    <t>Áreas internas</t>
  </si>
  <si>
    <t>Pisos Acarpetados</t>
  </si>
  <si>
    <t xml:space="preserve"> Bloco 1 - Salas administrativa + salas de professores</t>
  </si>
  <si>
    <t>Pisos Frios</t>
  </si>
  <si>
    <t>Bloco 1 -  Área administrativa - banheiros administrativos e alunos</t>
  </si>
  <si>
    <t>Bloco 1 - Salas de aula</t>
  </si>
  <si>
    <t>Almoxarifado</t>
  </si>
  <si>
    <t>Bloco 1 - Circulações (circulações, escadas, rampas)</t>
  </si>
  <si>
    <t>Áreas com espaços livres</t>
  </si>
  <si>
    <t xml:space="preserve"> Bloco 1 - Laboratórios de informática</t>
  </si>
  <si>
    <t>Áreas com espaços livres (saguão, hall, salão e etc)</t>
  </si>
  <si>
    <t>Bloco 1 - Copa</t>
  </si>
  <si>
    <t>Bloco 1 -  Auditório</t>
  </si>
  <si>
    <t>Áreas externas</t>
  </si>
  <si>
    <t>Bloco 1 - refeitório</t>
  </si>
  <si>
    <t>Bloco 1 - laboratório de ciências</t>
  </si>
  <si>
    <t>Bloco 1 - salas de aula</t>
  </si>
  <si>
    <t xml:space="preserve">Bloco 1 - Esquadrias Face interna </t>
  </si>
  <si>
    <t>Face Interna</t>
  </si>
  <si>
    <t>Bloco 1 - Esquadrias Face externa sem risco</t>
  </si>
  <si>
    <t>Face Externa sem Exposição a Situação de Risco</t>
  </si>
  <si>
    <t>Bloco 1 - Esquadrias Face externa com risco</t>
  </si>
  <si>
    <t>Face Externa com Exposição a Situação de Risco</t>
  </si>
  <si>
    <t>Esquadrias</t>
  </si>
  <si>
    <t>Bloco 2 - Salas de Aula</t>
  </si>
  <si>
    <t>Bloco 2 - Circulações</t>
  </si>
  <si>
    <t>Bloco 2 - Banheiros</t>
  </si>
  <si>
    <t>Fachadas Envidraçadas</t>
  </si>
  <si>
    <t>Bloco 2 - Biblioteca</t>
  </si>
  <si>
    <t>Área Hospitalares e assemelhadas</t>
  </si>
  <si>
    <t>Bloco 2 - depósito/almoxarifado</t>
  </si>
  <si>
    <t>Bloco 2 - Laboratório de edificações</t>
  </si>
  <si>
    <t xml:space="preserve">Bloco 2 - Esquadrias Face interna </t>
  </si>
  <si>
    <t>Bloco 2 - Esquadrias Face externa sem risco</t>
  </si>
  <si>
    <t>Áreas externas - cantina</t>
  </si>
  <si>
    <t xml:space="preserve">Áreas externas - pátio externo </t>
  </si>
  <si>
    <r>
      <t>Tela odorizadora para mictório</t>
    </r>
    <r>
      <rPr>
        <sz val="9"/>
        <color theme="1"/>
        <rFont val="Arial"/>
        <family val="2"/>
        <charset val="1"/>
      </rPr>
      <t>, em PVC, com fragrância, sistema de furos com anti respingo.</t>
    </r>
  </si>
  <si>
    <r>
      <t>Saco plástico para lixo. Capacidade 30 litros</t>
    </r>
    <r>
      <rPr>
        <sz val="9"/>
        <color theme="1"/>
        <rFont val="Arial"/>
        <family val="2"/>
        <charset val="1"/>
      </rPr>
      <t>, Cor preta. Largura mínima 59 cm e altura mínima 62 cm. Material polietileno. Para uso doméstico. Pacote com 100 unidades.</t>
    </r>
  </si>
  <si>
    <r>
      <t>Saco plástico para lixo. Capacidade 200 litros</t>
    </r>
    <r>
      <rPr>
        <sz val="9"/>
        <color theme="1"/>
        <rFont val="Arial"/>
        <family val="2"/>
        <charset val="1"/>
      </rPr>
      <t>, Cor preta. Largura mínima 90 cm e altura mínima 115cm. Material polietileno. Para uso doméstico.</t>
    </r>
  </si>
  <si>
    <r>
      <t>Pano para limpeza</t>
    </r>
    <r>
      <rPr>
        <sz val="9"/>
        <color theme="1"/>
        <rFont val="Arial"/>
        <family val="2"/>
        <charset val="1"/>
      </rPr>
      <t>, em forma de saco, tecido tipo sarja, 100% algodão, colorido, dimensões 68 x 76 cm (variação aceitável de até 10%).</t>
    </r>
  </si>
  <si>
    <r>
      <t>Grampo de roupas</t>
    </r>
    <r>
      <rPr>
        <sz val="9"/>
        <color theme="1"/>
        <rFont val="Arial"/>
        <family val="2"/>
        <charset val="1"/>
      </rPr>
      <t>, fabricados em plástico.</t>
    </r>
  </si>
  <si>
    <r>
      <t xml:space="preserve">Lixeira </t>
    </r>
    <r>
      <rPr>
        <sz val="9"/>
        <color theme="1"/>
        <rFont val="Arial"/>
        <family val="2"/>
        <charset val="1"/>
      </rPr>
      <t xml:space="preserve">plástica quadrada, fabricada em Polietileno de Alta Densidade (PEAD) ou Polipropileno (PP) de alta resistência e durabilidade,com pedal para abertura,com articulação para facilitar a fixação do saco de lixo, medidas aprox. 31cm de comprimento x 29cm de largura x 34cm de altura, capacidade </t>
    </r>
    <r>
      <rPr>
        <b/>
        <sz val="9"/>
        <color theme="1"/>
        <rFont val="Arial"/>
        <family val="2"/>
        <charset val="1"/>
      </rPr>
      <t>15 litros</t>
    </r>
    <r>
      <rPr>
        <sz val="9"/>
        <color theme="1"/>
        <rFont val="Arial"/>
        <family val="2"/>
        <charset val="1"/>
      </rPr>
      <t>.</t>
    </r>
  </si>
  <si>
    <r>
      <t xml:space="preserve">Lixeira </t>
    </r>
    <r>
      <rPr>
        <sz val="9"/>
        <color theme="1"/>
        <rFont val="Arial"/>
        <family val="2"/>
        <charset val="1"/>
      </rPr>
      <t xml:space="preserve">plástica quadrada, fabricada em Polietileno de Alta Densidade (PEAD) ou Polipropileno (PP) de alta resistência e durabilidade,com pedal para abertura,com articulação para facilitar a fixação do saco de lixo, medidas aprox. 71 cm x 45 cm, capacidade </t>
    </r>
    <r>
      <rPr>
        <b/>
        <sz val="9"/>
        <color theme="1"/>
        <rFont val="Arial"/>
        <family val="2"/>
        <charset val="1"/>
      </rPr>
      <t>50 litros.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</si>
</sst>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d/m/yyyy"/>
    <numFmt numFmtId="165" formatCode="_-&quot;R$ &quot;* #,##0.00_-;&quot;-R$ &quot;* #,##0.00_-;_-&quot;R$ &quot;* \-??_-;_-@"/>
    <numFmt numFmtId="166" formatCode="_-* #,##0_-;\-* #,##0_-;_-* \-??_-;_-@"/>
    <numFmt numFmtId="167" formatCode="&quot;R$ &quot;#,##0.00;[Red]&quot;-R$ &quot;#,##0.00"/>
    <numFmt numFmtId="168" formatCode="m/d/yyyy"/>
    <numFmt numFmtId="169" formatCode="0.0000%"/>
    <numFmt numFmtId="170" formatCode="0.000%"/>
    <numFmt numFmtId="171" formatCode="[$R$ -416]#,##0.00"/>
    <numFmt numFmtId="172" formatCode="_-* #,##0.00_-;\-* #,##0.00_-;_-* \-??_-;_-@"/>
    <numFmt numFmtId="173" formatCode="&quot;R$ &quot;#,##0.00\ ;&quot;(R$ &quot;#,##0.00\)"/>
    <numFmt numFmtId="174" formatCode="#,##0.00000000"/>
    <numFmt numFmtId="175" formatCode="&quot;R$ &quot;#,##0.00"/>
    <numFmt numFmtId="176" formatCode="[$R$-416]\ #,##0.00;[Red]\-[$R$-416]\ #,##0.00"/>
    <numFmt numFmtId="177" formatCode="0.00000000"/>
    <numFmt numFmtId="178" formatCode="0.0000"/>
    <numFmt numFmtId="179" formatCode="0.000000%"/>
  </numFmts>
  <fonts count="33">
    <font>
      <sz val="11"/>
      <color rgb="FF000000"/>
      <name val="Calibri"/>
      <charset val="1"/>
    </font>
    <font>
      <sz val="10"/>
      <color theme="1"/>
      <name val="Arial"/>
      <family val="2"/>
      <charset val="1"/>
    </font>
    <font>
      <b/>
      <sz val="10"/>
      <color theme="1"/>
      <name val="Arial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color theme="1"/>
      <name val="Arial"/>
      <charset val="1"/>
    </font>
    <font>
      <b/>
      <sz val="8"/>
      <color theme="1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theme="1"/>
      <name val="Arial"/>
      <family val="2"/>
      <charset val="1"/>
    </font>
    <font>
      <b/>
      <sz val="8"/>
      <color rgb="FF5F497A"/>
      <name val="Arial"/>
      <family val="2"/>
      <charset val="1"/>
    </font>
    <font>
      <sz val="8"/>
      <color theme="1"/>
      <name val="Arial Narrow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</font>
    <font>
      <sz val="8"/>
      <color rgb="FF000000"/>
      <name val="Arial Narrow"/>
      <family val="2"/>
      <charset val="1"/>
    </font>
    <font>
      <b/>
      <sz val="8"/>
      <color rgb="FF000000"/>
      <name val="Arial Narrow"/>
      <family val="2"/>
      <charset val="1"/>
    </font>
    <font>
      <sz val="11"/>
      <color theme="1"/>
      <name val="Calibri"/>
      <family val="2"/>
      <charset val="1"/>
    </font>
    <font>
      <b/>
      <sz val="8"/>
      <color theme="1"/>
      <name val="Arial Narrow"/>
      <family val="2"/>
      <charset val="1"/>
    </font>
    <font>
      <sz val="8"/>
      <color rgb="FF0070C0"/>
      <name val="Arial Narrow"/>
      <family val="2"/>
      <charset val="1"/>
    </font>
    <font>
      <sz val="11"/>
      <color rgb="FF0070C0"/>
      <name val="Calibri"/>
      <family val="2"/>
      <charset val="1"/>
    </font>
    <font>
      <sz val="9"/>
      <color rgb="FF000000"/>
      <name val="Arial"/>
      <family val="2"/>
      <charset val="1"/>
    </font>
    <font>
      <sz val="9"/>
      <color theme="1"/>
      <name val="Arial"/>
      <family val="2"/>
      <charset val="1"/>
    </font>
    <font>
      <b/>
      <sz val="9"/>
      <color theme="1"/>
      <name val="Arial"/>
      <family val="2"/>
      <charset val="1"/>
    </font>
    <font>
      <b/>
      <sz val="11"/>
      <color theme="1"/>
      <name val="Calibri"/>
      <family val="2"/>
      <charset val="1"/>
    </font>
    <font>
      <b/>
      <sz val="8"/>
      <color theme="1"/>
      <name val="Calibri"/>
      <family val="2"/>
      <charset val="1"/>
    </font>
    <font>
      <b/>
      <sz val="11"/>
      <color theme="1"/>
      <name val="Arial"/>
      <family val="2"/>
      <charset val="1"/>
    </font>
    <font>
      <sz val="11"/>
      <color theme="1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0000"/>
      <name val="Calibri"/>
      <charset val="1"/>
    </font>
    <font>
      <b/>
      <sz val="11"/>
      <color rgb="FF000000"/>
      <name val="Calibri"/>
    </font>
    <font>
      <sz val="11"/>
      <name val="Calibri"/>
    </font>
    <font>
      <sz val="11"/>
      <color rgb="FF000000"/>
      <name val="Calibri"/>
    </font>
  </fonts>
  <fills count="19">
    <fill>
      <patternFill patternType="none"/>
    </fill>
    <fill>
      <patternFill patternType="gray125"/>
    </fill>
    <fill>
      <patternFill patternType="solid">
        <fgColor theme="0"/>
        <bgColor rgb="FFF3F3F3"/>
      </patternFill>
    </fill>
    <fill>
      <patternFill patternType="solid">
        <fgColor rgb="FFFFE599"/>
        <bgColor rgb="FFFFD966"/>
      </patternFill>
    </fill>
    <fill>
      <patternFill patternType="solid">
        <fgColor rgb="FFFFD966"/>
        <bgColor rgb="FFFFE599"/>
      </patternFill>
    </fill>
    <fill>
      <patternFill patternType="solid">
        <fgColor rgb="FFD8D8D8"/>
        <bgColor rgb="FFD9D9D9"/>
      </patternFill>
    </fill>
    <fill>
      <patternFill patternType="solid">
        <fgColor rgb="FFFFFFD6"/>
        <bgColor rgb="FFFFFFFF"/>
      </patternFill>
    </fill>
    <fill>
      <patternFill patternType="solid">
        <fgColor rgb="FFF2F2F2"/>
        <bgColor rgb="FFF3F3F3"/>
      </patternFill>
    </fill>
    <fill>
      <patternFill patternType="solid">
        <fgColor theme="4"/>
        <bgColor rgb="FF4BACC6"/>
      </patternFill>
    </fill>
    <fill>
      <patternFill patternType="solid">
        <fgColor rgb="FFBFBFBF"/>
        <bgColor rgb="FFCCCCCC"/>
      </patternFill>
    </fill>
    <fill>
      <patternFill patternType="solid">
        <fgColor rgb="FF0E67FF"/>
        <bgColor rgb="FF0070C0"/>
      </patternFill>
    </fill>
    <fill>
      <patternFill patternType="solid">
        <fgColor rgb="FFF3F3F3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F2F2F2"/>
      </patternFill>
    </fill>
    <fill>
      <patternFill patternType="solid">
        <fgColor theme="4" tint="0.39988402966399123"/>
        <bgColor rgb="FF9999FF"/>
      </patternFill>
    </fill>
    <fill>
      <patternFill patternType="solid">
        <fgColor theme="2" tint="-0.14999847407452621"/>
        <bgColor rgb="FFD8D8D8"/>
      </patternFill>
    </fill>
    <fill>
      <patternFill patternType="solid">
        <fgColor rgb="FFCCCCCC"/>
        <bgColor rgb="FFD8D8D8"/>
      </patternFill>
    </fill>
    <fill>
      <patternFill patternType="solid">
        <fgColor rgb="FF000000"/>
        <bgColor rgb="FF003300"/>
      </patternFill>
    </fill>
    <fill>
      <patternFill patternType="solid">
        <fgColor rgb="FFD8D8D8"/>
        <bgColor rgb="FFD8D8D8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9" fillId="0" borderId="0" applyBorder="0" applyProtection="0"/>
  </cellStyleXfs>
  <cellXfs count="327">
    <xf numFmtId="0" fontId="0" fillId="0" borderId="0" xfId="0"/>
    <xf numFmtId="0" fontId="8" fillId="7" borderId="1" xfId="0" applyFont="1" applyFill="1" applyBorder="1" applyAlignment="1">
      <alignment horizontal="left"/>
    </xf>
    <xf numFmtId="0" fontId="9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2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4" xfId="0" applyNumberFormat="1" applyFont="1" applyBorder="1" applyAlignment="1">
      <alignment horizontal="left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/>
    <xf numFmtId="0" fontId="7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164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" fontId="8" fillId="0" borderId="0" xfId="0" applyNumberFormat="1" applyFont="1" applyAlignment="1">
      <alignment horizontal="left" shrinkToFit="1"/>
    </xf>
    <xf numFmtId="0" fontId="9" fillId="5" borderId="0" xfId="0" applyFont="1" applyFill="1" applyAlignment="1">
      <alignment horizontal="center"/>
    </xf>
    <xf numFmtId="0" fontId="8" fillId="5" borderId="0" xfId="0" applyFont="1" applyFill="1" applyAlignment="1">
      <alignment wrapText="1"/>
    </xf>
    <xf numFmtId="0" fontId="8" fillId="5" borderId="0" xfId="0" applyFont="1" applyFill="1" applyAlignment="1">
      <alignment horizontal="left"/>
    </xf>
    <xf numFmtId="0" fontId="9" fillId="6" borderId="0" xfId="0" applyFont="1" applyFill="1" applyAlignment="1">
      <alignment horizontal="left"/>
    </xf>
    <xf numFmtId="1" fontId="8" fillId="5" borderId="0" xfId="0" applyNumberFormat="1" applyFont="1" applyFill="1" applyAlignment="1">
      <alignment horizontal="center" shrinkToFit="1"/>
    </xf>
    <xf numFmtId="0" fontId="9" fillId="5" borderId="0" xfId="0" applyFont="1" applyFill="1"/>
    <xf numFmtId="0" fontId="9" fillId="5" borderId="0" xfId="0" applyFont="1" applyFill="1" applyAlignment="1">
      <alignment horizontal="left"/>
    </xf>
    <xf numFmtId="0" fontId="9" fillId="6" borderId="2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 wrapText="1"/>
    </xf>
    <xf numFmtId="167" fontId="10" fillId="6" borderId="0" xfId="0" applyNumberFormat="1" applyFont="1" applyFill="1" applyAlignment="1">
      <alignment horizontal="center"/>
    </xf>
    <xf numFmtId="0" fontId="11" fillId="0" borderId="0" xfId="0" applyFont="1" applyAlignment="1">
      <alignment horizontal="left"/>
    </xf>
    <xf numFmtId="168" fontId="8" fillId="5" borderId="0" xfId="0" applyNumberFormat="1" applyFont="1" applyFill="1" applyAlignment="1">
      <alignment horizontal="center" shrinkToFit="1"/>
    </xf>
    <xf numFmtId="0" fontId="6" fillId="7" borderId="1" xfId="0" applyFont="1" applyFill="1" applyBorder="1"/>
    <xf numFmtId="0" fontId="8" fillId="7" borderId="1" xfId="0" applyFont="1" applyFill="1" applyBorder="1"/>
    <xf numFmtId="1" fontId="7" fillId="7" borderId="1" xfId="0" applyNumberFormat="1" applyFont="1" applyFill="1" applyBorder="1" applyAlignment="1">
      <alignment horizontal="center" shrinkToFit="1"/>
    </xf>
    <xf numFmtId="0" fontId="6" fillId="7" borderId="1" xfId="0" applyFont="1" applyFill="1" applyBorder="1" applyAlignment="1">
      <alignment horizontal="left" wrapText="1"/>
    </xf>
    <xf numFmtId="0" fontId="7" fillId="7" borderId="1" xfId="0" applyFont="1" applyFill="1" applyBorder="1" applyAlignment="1">
      <alignment horizontal="left"/>
    </xf>
    <xf numFmtId="0" fontId="6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165" fontId="8" fillId="0" borderId="1" xfId="0" applyNumberFormat="1" applyFont="1" applyBorder="1"/>
    <xf numFmtId="10" fontId="8" fillId="0" borderId="1" xfId="0" applyNumberFormat="1" applyFont="1" applyBorder="1" applyAlignment="1">
      <alignment horizontal="left" shrinkToFit="1"/>
    </xf>
    <xf numFmtId="165" fontId="6" fillId="7" borderId="1" xfId="0" applyNumberFormat="1" applyFont="1" applyFill="1" applyBorder="1"/>
    <xf numFmtId="165" fontId="6" fillId="7" borderId="1" xfId="0" applyNumberFormat="1" applyFont="1" applyFill="1" applyBorder="1" applyAlignment="1">
      <alignment horizontal="right"/>
    </xf>
    <xf numFmtId="10" fontId="7" fillId="7" borderId="1" xfId="0" applyNumberFormat="1" applyFont="1" applyFill="1" applyBorder="1" applyAlignment="1">
      <alignment horizontal="left"/>
    </xf>
    <xf numFmtId="165" fontId="7" fillId="7" borderId="1" xfId="0" applyNumberFormat="1" applyFont="1" applyFill="1" applyBorder="1"/>
    <xf numFmtId="0" fontId="6" fillId="0" borderId="1" xfId="0" applyFont="1" applyBorder="1"/>
    <xf numFmtId="10" fontId="12" fillId="8" borderId="1" xfId="0" applyNumberFormat="1" applyFont="1" applyFill="1" applyBorder="1" applyAlignment="1">
      <alignment horizontal="center" vertical="center" shrinkToFit="1"/>
    </xf>
    <xf numFmtId="10" fontId="7" fillId="7" borderId="1" xfId="0" applyNumberFormat="1" applyFont="1" applyFill="1" applyBorder="1" applyAlignment="1">
      <alignment horizontal="left" shrinkToFit="1"/>
    </xf>
    <xf numFmtId="165" fontId="8" fillId="0" borderId="1" xfId="0" applyNumberFormat="1" applyFont="1" applyBorder="1" applyAlignment="1">
      <alignment horizontal="left"/>
    </xf>
    <xf numFmtId="9" fontId="8" fillId="0" borderId="1" xfId="0" applyNumberFormat="1" applyFont="1" applyBorder="1" applyAlignment="1">
      <alignment horizontal="left" shrinkToFit="1"/>
    </xf>
    <xf numFmtId="0" fontId="8" fillId="0" borderId="1" xfId="0" applyFont="1" applyBorder="1"/>
    <xf numFmtId="10" fontId="12" fillId="0" borderId="1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wrapText="1"/>
    </xf>
    <xf numFmtId="0" fontId="2" fillId="9" borderId="5" xfId="0" applyFont="1" applyFill="1" applyBorder="1" applyAlignment="1">
      <alignment horizontal="left" vertical="center" wrapText="1"/>
    </xf>
    <xf numFmtId="165" fontId="12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10" fontId="0" fillId="10" borderId="4" xfId="0" applyNumberFormat="1" applyFill="1" applyBorder="1" applyAlignment="1">
      <alignment horizontal="center" vertical="center"/>
    </xf>
    <xf numFmtId="0" fontId="9" fillId="0" borderId="2" xfId="0" applyFont="1" applyBorder="1" applyAlignment="1">
      <alignment horizontal="center" wrapText="1"/>
    </xf>
    <xf numFmtId="169" fontId="8" fillId="0" borderId="1" xfId="0" applyNumberFormat="1" applyFont="1" applyBorder="1" applyAlignment="1">
      <alignment horizontal="left" shrinkToFit="1"/>
    </xf>
    <xf numFmtId="170" fontId="7" fillId="11" borderId="1" xfId="0" applyNumberFormat="1" applyFont="1" applyFill="1" applyBorder="1" applyAlignment="1">
      <alignment horizontal="left" shrinkToFit="1"/>
    </xf>
    <xf numFmtId="165" fontId="7" fillId="11" borderId="1" xfId="0" applyNumberFormat="1" applyFont="1" applyFill="1" applyBorder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9" fontId="7" fillId="7" borderId="1" xfId="1" applyFont="1" applyFill="1" applyBorder="1" applyProtection="1"/>
    <xf numFmtId="1" fontId="13" fillId="7" borderId="1" xfId="0" applyNumberFormat="1" applyFont="1" applyFill="1" applyBorder="1" applyAlignment="1">
      <alignment horizontal="center" vertical="center" shrinkToFit="1"/>
    </xf>
    <xf numFmtId="0" fontId="13" fillId="7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7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/>
    </xf>
    <xf numFmtId="165" fontId="13" fillId="7" borderId="1" xfId="0" applyNumberFormat="1" applyFont="1" applyFill="1" applyBorder="1" applyAlignment="1">
      <alignment vertical="center"/>
    </xf>
    <xf numFmtId="1" fontId="7" fillId="7" borderId="0" xfId="0" applyNumberFormat="1" applyFont="1" applyFill="1" applyAlignment="1">
      <alignment horizontal="center" shrinkToFit="1"/>
    </xf>
    <xf numFmtId="0" fontId="6" fillId="7" borderId="0" xfId="0" applyFont="1" applyFill="1"/>
    <xf numFmtId="0" fontId="7" fillId="7" borderId="0" xfId="0" applyFont="1" applyFill="1" applyAlignment="1">
      <alignment horizontal="left"/>
    </xf>
    <xf numFmtId="0" fontId="6" fillId="7" borderId="0" xfId="0" applyFont="1" applyFill="1" applyAlignment="1">
      <alignment horizontal="center"/>
    </xf>
    <xf numFmtId="0" fontId="6" fillId="7" borderId="0" xfId="0" applyFont="1" applyFill="1" applyAlignment="1">
      <alignment horizontal="center" wrapText="1"/>
    </xf>
    <xf numFmtId="10" fontId="8" fillId="0" borderId="0" xfId="0" applyNumberFormat="1" applyFont="1" applyAlignment="1">
      <alignment horizontal="left" shrinkToFit="1"/>
    </xf>
    <xf numFmtId="165" fontId="8" fillId="0" borderId="0" xfId="0" applyNumberFormat="1" applyFont="1"/>
    <xf numFmtId="0" fontId="8" fillId="7" borderId="0" xfId="0" applyFont="1" applyFill="1" applyAlignment="1">
      <alignment horizontal="left"/>
    </xf>
    <xf numFmtId="165" fontId="7" fillId="7" borderId="0" xfId="0" applyNumberFormat="1" applyFont="1" applyFill="1"/>
    <xf numFmtId="10" fontId="8" fillId="12" borderId="0" xfId="0" applyNumberFormat="1" applyFont="1" applyFill="1" applyAlignment="1">
      <alignment horizontal="left" shrinkToFit="1"/>
    </xf>
    <xf numFmtId="171" fontId="8" fillId="0" borderId="0" xfId="0" applyNumberFormat="1" applyFont="1"/>
    <xf numFmtId="0" fontId="6" fillId="0" borderId="0" xfId="0" applyFont="1" applyAlignment="1">
      <alignment horizontal="center"/>
    </xf>
    <xf numFmtId="172" fontId="6" fillId="0" borderId="0" xfId="0" applyNumberFormat="1" applyFont="1" applyAlignment="1">
      <alignment horizontal="left"/>
    </xf>
    <xf numFmtId="172" fontId="6" fillId="7" borderId="0" xfId="0" applyNumberFormat="1" applyFont="1" applyFill="1" applyAlignment="1">
      <alignment horizontal="left"/>
    </xf>
    <xf numFmtId="1" fontId="8" fillId="7" borderId="0" xfId="0" applyNumberFormat="1" applyFont="1" applyFill="1" applyAlignment="1">
      <alignment horizontal="center" shrinkToFit="1"/>
    </xf>
    <xf numFmtId="0" fontId="9" fillId="7" borderId="0" xfId="0" applyFont="1" applyFill="1"/>
    <xf numFmtId="0" fontId="9" fillId="7" borderId="0" xfId="0" applyFont="1" applyFill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165" fontId="9" fillId="0" borderId="0" xfId="0" applyNumberFormat="1" applyFont="1"/>
    <xf numFmtId="0" fontId="6" fillId="13" borderId="0" xfId="0" applyFont="1" applyFill="1"/>
    <xf numFmtId="0" fontId="7" fillId="13" borderId="0" xfId="0" applyFont="1" applyFill="1" applyAlignment="1">
      <alignment horizontal="left"/>
    </xf>
    <xf numFmtId="165" fontId="8" fillId="13" borderId="1" xfId="0" applyNumberFormat="1" applyFont="1" applyFill="1" applyBorder="1"/>
    <xf numFmtId="172" fontId="6" fillId="13" borderId="0" xfId="0" applyNumberFormat="1" applyFont="1" applyFill="1" applyAlignment="1">
      <alignment horizontal="left"/>
    </xf>
    <xf numFmtId="0" fontId="15" fillId="0" borderId="0" xfId="0" applyFont="1"/>
    <xf numFmtId="0" fontId="16" fillId="0" borderId="0" xfId="0" applyFont="1" applyAlignment="1">
      <alignment horizontal="left"/>
    </xf>
    <xf numFmtId="0" fontId="11" fillId="0" borderId="0" xfId="0" applyFont="1"/>
    <xf numFmtId="0" fontId="17" fillId="0" borderId="0" xfId="0" applyFont="1"/>
    <xf numFmtId="173" fontId="17" fillId="0" borderId="0" xfId="0" applyNumberFormat="1" applyFont="1"/>
    <xf numFmtId="165" fontId="17" fillId="0" borderId="0" xfId="0" applyNumberFormat="1" applyFont="1"/>
    <xf numFmtId="0" fontId="18" fillId="14" borderId="6" xfId="0" applyFont="1" applyFill="1" applyBorder="1"/>
    <xf numFmtId="0" fontId="18" fillId="14" borderId="6" xfId="0" applyFont="1" applyFill="1" applyBorder="1" applyAlignment="1">
      <alignment horizontal="center"/>
    </xf>
    <xf numFmtId="0" fontId="17" fillId="14" borderId="6" xfId="0" applyFont="1" applyFill="1" applyBorder="1"/>
    <xf numFmtId="0" fontId="18" fillId="14" borderId="6" xfId="0" applyFont="1" applyFill="1" applyBorder="1" applyAlignment="1">
      <alignment horizontal="center" wrapText="1"/>
    </xf>
    <xf numFmtId="0" fontId="11" fillId="0" borderId="7" xfId="0" applyFont="1" applyBorder="1"/>
    <xf numFmtId="0" fontId="11" fillId="0" borderId="7" xfId="0" applyFont="1" applyBorder="1" applyAlignment="1">
      <alignment wrapText="1"/>
    </xf>
    <xf numFmtId="0" fontId="19" fillId="0" borderId="7" xfId="0" applyFont="1" applyBorder="1" applyAlignment="1">
      <alignment horizontal="center"/>
    </xf>
    <xf numFmtId="174" fontId="11" fillId="0" borderId="7" xfId="0" applyNumberFormat="1" applyFont="1" applyBorder="1" applyAlignment="1">
      <alignment horizontal="center"/>
    </xf>
    <xf numFmtId="0" fontId="17" fillId="0" borderId="7" xfId="0" applyFont="1" applyBorder="1"/>
    <xf numFmtId="175" fontId="11" fillId="0" borderId="7" xfId="0" applyNumberFormat="1" applyFont="1" applyBorder="1" applyAlignment="1">
      <alignment horizontal="center" vertical="center"/>
    </xf>
    <xf numFmtId="0" fontId="17" fillId="7" borderId="8" xfId="0" applyFont="1" applyFill="1" applyBorder="1"/>
    <xf numFmtId="0" fontId="17" fillId="7" borderId="9" xfId="0" applyFont="1" applyFill="1" applyBorder="1"/>
    <xf numFmtId="0" fontId="20" fillId="7" borderId="9" xfId="0" applyFont="1" applyFill="1" applyBorder="1" applyAlignment="1">
      <alignment horizontal="center"/>
    </xf>
    <xf numFmtId="176" fontId="17" fillId="7" borderId="9" xfId="0" applyNumberFormat="1" applyFont="1" applyFill="1" applyBorder="1" applyAlignment="1">
      <alignment horizontal="center"/>
    </xf>
    <xf numFmtId="173" fontId="17" fillId="7" borderId="9" xfId="0" applyNumberFormat="1" applyFont="1" applyFill="1" applyBorder="1"/>
    <xf numFmtId="175" fontId="17" fillId="7" borderId="9" xfId="0" applyNumberFormat="1" applyFont="1" applyFill="1" applyBorder="1" applyAlignment="1">
      <alignment horizontal="center" vertical="center"/>
    </xf>
    <xf numFmtId="175" fontId="18" fillId="7" borderId="10" xfId="0" applyNumberFormat="1" applyFont="1" applyFill="1" applyBorder="1" applyAlignment="1">
      <alignment horizontal="center" vertical="center"/>
    </xf>
    <xf numFmtId="0" fontId="11" fillId="0" borderId="6" xfId="0" applyFont="1" applyBorder="1"/>
    <xf numFmtId="174" fontId="11" fillId="0" borderId="6" xfId="0" applyNumberFormat="1" applyFont="1" applyBorder="1" applyAlignment="1">
      <alignment horizontal="center"/>
    </xf>
    <xf numFmtId="175" fontId="11" fillId="0" borderId="6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7" fillId="7" borderId="9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174" fontId="17" fillId="0" borderId="0" xfId="0" applyNumberFormat="1" applyFont="1" applyAlignment="1">
      <alignment horizontal="center"/>
    </xf>
    <xf numFmtId="176" fontId="17" fillId="0" borderId="0" xfId="0" applyNumberFormat="1" applyFont="1"/>
    <xf numFmtId="0" fontId="11" fillId="14" borderId="6" xfId="0" applyFont="1" applyFill="1" applyBorder="1" applyAlignment="1">
      <alignment horizontal="center"/>
    </xf>
    <xf numFmtId="0" fontId="11" fillId="14" borderId="6" xfId="0" applyFont="1" applyFill="1" applyBorder="1" applyAlignment="1">
      <alignment horizontal="center" wrapText="1"/>
    </xf>
    <xf numFmtId="165" fontId="11" fillId="14" borderId="6" xfId="0" applyNumberFormat="1" applyFont="1" applyFill="1" applyBorder="1" applyAlignment="1">
      <alignment horizontal="center" wrapText="1"/>
    </xf>
    <xf numFmtId="165" fontId="11" fillId="14" borderId="6" xfId="0" applyNumberFormat="1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177" fontId="11" fillId="0" borderId="6" xfId="0" applyNumberFormat="1" applyFont="1" applyBorder="1" applyAlignment="1">
      <alignment horizontal="center" vertical="center"/>
    </xf>
    <xf numFmtId="176" fontId="17" fillId="7" borderId="9" xfId="0" applyNumberFormat="1" applyFont="1" applyFill="1" applyBorder="1"/>
    <xf numFmtId="176" fontId="17" fillId="7" borderId="9" xfId="0" applyNumberFormat="1" applyFont="1" applyFill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/>
    </xf>
    <xf numFmtId="177" fontId="11" fillId="0" borderId="0" xfId="0" applyNumberFormat="1" applyFont="1" applyAlignment="1">
      <alignment horizontal="center"/>
    </xf>
    <xf numFmtId="174" fontId="17" fillId="0" borderId="0" xfId="0" applyNumberFormat="1" applyFont="1"/>
    <xf numFmtId="176" fontId="17" fillId="14" borderId="0" xfId="0" applyNumberFormat="1" applyFont="1" applyFill="1"/>
    <xf numFmtId="174" fontId="18" fillId="14" borderId="6" xfId="0" applyNumberFormat="1" applyFont="1" applyFill="1" applyBorder="1" applyAlignment="1">
      <alignment horizontal="center"/>
    </xf>
    <xf numFmtId="173" fontId="18" fillId="14" borderId="6" xfId="0" applyNumberFormat="1" applyFont="1" applyFill="1" applyBorder="1" applyAlignment="1">
      <alignment horizontal="center"/>
    </xf>
    <xf numFmtId="165" fontId="11" fillId="14" borderId="0" xfId="0" applyNumberFormat="1" applyFont="1" applyFill="1" applyAlignment="1">
      <alignment horizontal="center" wrapText="1"/>
    </xf>
    <xf numFmtId="4" fontId="11" fillId="0" borderId="6" xfId="0" applyNumberFormat="1" applyFont="1" applyBorder="1" applyAlignment="1">
      <alignment horizontal="center"/>
    </xf>
    <xf numFmtId="178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right"/>
    </xf>
    <xf numFmtId="175" fontId="11" fillId="0" borderId="10" xfId="0" applyNumberFormat="1" applyFont="1" applyBorder="1" applyAlignment="1">
      <alignment horizontal="center" vertical="center"/>
    </xf>
    <xf numFmtId="0" fontId="17" fillId="15" borderId="0" xfId="0" applyFont="1" applyFill="1"/>
    <xf numFmtId="176" fontId="17" fillId="15" borderId="0" xfId="0" applyNumberFormat="1" applyFont="1" applyFill="1"/>
    <xf numFmtId="4" fontId="17" fillId="15" borderId="0" xfId="0" applyNumberFormat="1" applyFont="1" applyFill="1"/>
    <xf numFmtId="173" fontId="18" fillId="15" borderId="0" xfId="0" applyNumberFormat="1" applyFont="1" applyFill="1" applyAlignment="1">
      <alignment horizontal="center"/>
    </xf>
    <xf numFmtId="178" fontId="18" fillId="15" borderId="0" xfId="0" applyNumberFormat="1" applyFont="1" applyFill="1" applyAlignment="1">
      <alignment horizontal="center"/>
    </xf>
    <xf numFmtId="4" fontId="17" fillId="0" borderId="0" xfId="0" applyNumberFormat="1" applyFont="1"/>
    <xf numFmtId="173" fontId="18" fillId="0" borderId="0" xfId="0" applyNumberFormat="1" applyFont="1" applyAlignment="1">
      <alignment horizontal="center"/>
    </xf>
    <xf numFmtId="178" fontId="18" fillId="0" borderId="0" xfId="0" applyNumberFormat="1" applyFont="1" applyAlignment="1">
      <alignment horizontal="center"/>
    </xf>
    <xf numFmtId="174" fontId="11" fillId="14" borderId="6" xfId="0" applyNumberFormat="1" applyFont="1" applyFill="1" applyBorder="1" applyAlignment="1">
      <alignment horizontal="center"/>
    </xf>
    <xf numFmtId="4" fontId="11" fillId="14" borderId="6" xfId="0" applyNumberFormat="1" applyFont="1" applyFill="1" applyBorder="1" applyAlignment="1">
      <alignment horizontal="center" wrapText="1"/>
    </xf>
    <xf numFmtId="177" fontId="18" fillId="14" borderId="6" xfId="0" applyNumberFormat="1" applyFont="1" applyFill="1" applyBorder="1" applyAlignment="1">
      <alignment horizontal="center" wrapText="1"/>
    </xf>
    <xf numFmtId="173" fontId="11" fillId="14" borderId="6" xfId="0" applyNumberFormat="1" applyFont="1" applyFill="1" applyBorder="1" applyAlignment="1">
      <alignment horizontal="center"/>
    </xf>
    <xf numFmtId="0" fontId="11" fillId="0" borderId="8" xfId="0" applyFont="1" applyBorder="1"/>
    <xf numFmtId="0" fontId="17" fillId="0" borderId="10" xfId="0" applyFont="1" applyBorder="1"/>
    <xf numFmtId="0" fontId="18" fillId="15" borderId="8" xfId="0" applyFont="1" applyFill="1" applyBorder="1" applyAlignment="1">
      <alignment vertical="center"/>
    </xf>
    <xf numFmtId="0" fontId="17" fillId="15" borderId="9" xfId="0" applyFont="1" applyFill="1" applyBorder="1"/>
    <xf numFmtId="0" fontId="17" fillId="15" borderId="10" xfId="0" applyFont="1" applyFill="1" applyBorder="1"/>
    <xf numFmtId="175" fontId="18" fillId="15" borderId="6" xfId="0" applyNumberFormat="1" applyFont="1" applyFill="1" applyBorder="1" applyAlignment="1">
      <alignment horizontal="center" vertical="center"/>
    </xf>
    <xf numFmtId="178" fontId="18" fillId="15" borderId="0" xfId="0" applyNumberFormat="1" applyFont="1" applyFill="1" applyAlignment="1">
      <alignment horizontal="center" vertical="center"/>
    </xf>
    <xf numFmtId="178" fontId="18" fillId="14" borderId="0" xfId="0" applyNumberFormat="1" applyFont="1" applyFill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175" fontId="21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175" fontId="22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14" borderId="3" xfId="0" applyFont="1" applyFill="1" applyBorder="1" applyAlignment="1">
      <alignment horizontal="center" vertical="center" wrapText="1"/>
    </xf>
    <xf numFmtId="0" fontId="23" fillId="14" borderId="3" xfId="0" applyFont="1" applyFill="1" applyBorder="1" applyAlignment="1">
      <alignment vertical="center" wrapText="1"/>
    </xf>
    <xf numFmtId="165" fontId="23" fillId="14" borderId="3" xfId="0" applyNumberFormat="1" applyFont="1" applyFill="1" applyBorder="1" applyAlignment="1">
      <alignment horizontal="center" vertical="center" wrapText="1"/>
    </xf>
    <xf numFmtId="172" fontId="23" fillId="14" borderId="3" xfId="0" applyNumberFormat="1" applyFont="1" applyFill="1" applyBorder="1" applyAlignment="1">
      <alignment horizontal="center" vertical="center" wrapText="1"/>
    </xf>
    <xf numFmtId="175" fontId="23" fillId="14" borderId="3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171" fontId="22" fillId="0" borderId="0" xfId="0" applyNumberFormat="1" applyFont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vertical="center" wrapText="1"/>
    </xf>
    <xf numFmtId="171" fontId="22" fillId="0" borderId="11" xfId="0" applyNumberFormat="1" applyFont="1" applyBorder="1" applyAlignment="1">
      <alignment horizontal="center" vertical="center"/>
    </xf>
    <xf numFmtId="175" fontId="22" fillId="0" borderId="11" xfId="0" applyNumberFormat="1" applyFont="1" applyBorder="1" applyAlignment="1">
      <alignment horizontal="center" vertical="center"/>
    </xf>
    <xf numFmtId="0" fontId="22" fillId="15" borderId="3" xfId="0" applyFont="1" applyFill="1" applyBorder="1" applyAlignment="1">
      <alignment vertical="center"/>
    </xf>
    <xf numFmtId="0" fontId="23" fillId="15" borderId="3" xfId="0" applyFont="1" applyFill="1" applyBorder="1" applyAlignment="1">
      <alignment vertical="center"/>
    </xf>
    <xf numFmtId="171" fontId="22" fillId="15" borderId="3" xfId="0" applyNumberFormat="1" applyFont="1" applyFill="1" applyBorder="1" applyAlignment="1">
      <alignment horizontal="center" vertical="center"/>
    </xf>
    <xf numFmtId="175" fontId="23" fillId="15" borderId="3" xfId="0" applyNumberFormat="1" applyFont="1" applyFill="1" applyBorder="1" applyAlignment="1">
      <alignment horizontal="center" vertical="center"/>
    </xf>
    <xf numFmtId="0" fontId="23" fillId="15" borderId="3" xfId="0" applyFont="1" applyFill="1" applyBorder="1" applyAlignment="1">
      <alignment horizontal="center" vertical="center"/>
    </xf>
    <xf numFmtId="0" fontId="22" fillId="15" borderId="3" xfId="0" applyFont="1" applyFill="1" applyBorder="1" applyAlignment="1">
      <alignment horizontal="center" vertical="center"/>
    </xf>
    <xf numFmtId="0" fontId="23" fillId="14" borderId="3" xfId="0" applyFont="1" applyFill="1" applyBorder="1" applyAlignment="1">
      <alignment vertical="center"/>
    </xf>
    <xf numFmtId="0" fontId="23" fillId="14" borderId="3" xfId="0" applyFont="1" applyFill="1" applyBorder="1" applyAlignment="1">
      <alignment horizontal="center" vertical="center"/>
    </xf>
    <xf numFmtId="175" fontId="23" fillId="14" borderId="3" xfId="0" applyNumberFormat="1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171" fontId="22" fillId="0" borderId="3" xfId="0" applyNumberFormat="1" applyFont="1" applyBorder="1" applyAlignment="1">
      <alignment horizontal="center" vertical="center"/>
    </xf>
    <xf numFmtId="171" fontId="22" fillId="0" borderId="3" xfId="0" applyNumberFormat="1" applyFont="1" applyBorder="1" applyAlignment="1">
      <alignment horizontal="right" vertical="center"/>
    </xf>
    <xf numFmtId="175" fontId="22" fillId="0" borderId="3" xfId="0" applyNumberFormat="1" applyFont="1" applyBorder="1" applyAlignment="1">
      <alignment horizontal="center" vertical="center"/>
    </xf>
    <xf numFmtId="171" fontId="22" fillId="15" borderId="3" xfId="0" applyNumberFormat="1" applyFont="1" applyFill="1" applyBorder="1" applyAlignment="1">
      <alignment vertical="center"/>
    </xf>
    <xf numFmtId="175" fontId="22" fillId="15" borderId="3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171" fontId="2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6" fillId="14" borderId="3" xfId="0" applyFont="1" applyFill="1" applyBorder="1" applyAlignment="1">
      <alignment horizontal="center" vertical="center" wrapText="1"/>
    </xf>
    <xf numFmtId="0" fontId="6" fillId="14" borderId="3" xfId="0" applyFont="1" applyFill="1" applyBorder="1" applyAlignment="1">
      <alignment vertical="center" wrapText="1"/>
    </xf>
    <xf numFmtId="165" fontId="6" fillId="14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1" fontId="9" fillId="0" borderId="0" xfId="0" applyNumberFormat="1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171" fontId="9" fillId="0" borderId="11" xfId="0" applyNumberFormat="1" applyFont="1" applyBorder="1" applyAlignment="1">
      <alignment horizontal="center" vertical="center"/>
    </xf>
    <xf numFmtId="0" fontId="17" fillId="15" borderId="3" xfId="0" applyFont="1" applyFill="1" applyBorder="1" applyAlignment="1">
      <alignment vertical="center"/>
    </xf>
    <xf numFmtId="0" fontId="6" fillId="15" borderId="3" xfId="0" applyFont="1" applyFill="1" applyBorder="1" applyAlignment="1">
      <alignment vertical="center"/>
    </xf>
    <xf numFmtId="0" fontId="17" fillId="15" borderId="3" xfId="0" applyFont="1" applyFill="1" applyBorder="1" applyAlignment="1">
      <alignment horizontal="center" vertical="center"/>
    </xf>
    <xf numFmtId="165" fontId="6" fillId="15" borderId="3" xfId="0" applyNumberFormat="1" applyFont="1" applyFill="1" applyBorder="1" applyAlignment="1">
      <alignment horizontal="center" vertical="center"/>
    </xf>
    <xf numFmtId="0" fontId="9" fillId="15" borderId="3" xfId="0" applyFont="1" applyFill="1" applyBorder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171" fontId="17" fillId="15" borderId="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79" fontId="22" fillId="0" borderId="0" xfId="0" applyNumberFormat="1" applyFont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3" fontId="22" fillId="0" borderId="0" xfId="0" applyNumberFormat="1" applyFont="1" applyAlignment="1">
      <alignment horizontal="center" vertical="center"/>
    </xf>
    <xf numFmtId="0" fontId="23" fillId="0" borderId="11" xfId="0" applyFont="1" applyBorder="1" applyAlignment="1">
      <alignment vertical="center" wrapText="1"/>
    </xf>
    <xf numFmtId="3" fontId="22" fillId="0" borderId="11" xfId="0" applyNumberFormat="1" applyFont="1" applyBorder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165" fontId="22" fillId="15" borderId="3" xfId="0" applyNumberFormat="1" applyFont="1" applyFill="1" applyBorder="1" applyAlignment="1">
      <alignment vertical="center"/>
    </xf>
    <xf numFmtId="0" fontId="24" fillId="0" borderId="6" xfId="0" applyFont="1" applyBorder="1" applyAlignment="1">
      <alignment horizontal="center" wrapText="1"/>
    </xf>
    <xf numFmtId="4" fontId="24" fillId="0" borderId="6" xfId="0" applyNumberFormat="1" applyFont="1" applyBorder="1" applyAlignment="1">
      <alignment horizontal="center" wrapText="1"/>
    </xf>
    <xf numFmtId="4" fontId="24" fillId="15" borderId="6" xfId="0" applyNumberFormat="1" applyFont="1" applyFill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4" fontId="17" fillId="15" borderId="1" xfId="0" applyNumberFormat="1" applyFont="1" applyFill="1" applyBorder="1" applyAlignment="1">
      <alignment horizontal="center"/>
    </xf>
    <xf numFmtId="0" fontId="24" fillId="16" borderId="1" xfId="0" applyFont="1" applyFill="1" applyBorder="1" applyAlignment="1">
      <alignment wrapText="1"/>
    </xf>
    <xf numFmtId="0" fontId="17" fillId="0" borderId="1" xfId="0" applyFont="1" applyBorder="1"/>
    <xf numFmtId="4" fontId="17" fillId="0" borderId="1" xfId="0" applyNumberFormat="1" applyFont="1" applyBorder="1" applyAlignment="1">
      <alignment horizontal="center"/>
    </xf>
    <xf numFmtId="4" fontId="17" fillId="15" borderId="6" xfId="0" applyNumberFormat="1" applyFont="1" applyFill="1" applyBorder="1" applyAlignment="1">
      <alignment horizontal="center"/>
    </xf>
    <xf numFmtId="1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17" fillId="2" borderId="1" xfId="0" applyFont="1" applyFill="1" applyBorder="1"/>
    <xf numFmtId="0" fontId="17" fillId="2" borderId="1" xfId="0" applyFont="1" applyFill="1" applyBorder="1" applyAlignment="1">
      <alignment horizontal="center"/>
    </xf>
    <xf numFmtId="4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wrapText="1"/>
    </xf>
    <xf numFmtId="0" fontId="26" fillId="16" borderId="0" xfId="0" applyFont="1" applyFill="1"/>
    <xf numFmtId="0" fontId="27" fillId="0" borderId="1" xfId="0" applyFont="1" applyBorder="1" applyAlignment="1">
      <alignment horizontal="center"/>
    </xf>
    <xf numFmtId="4" fontId="27" fillId="0" borderId="1" xfId="0" applyNumberFormat="1" applyFont="1" applyBorder="1" applyAlignment="1">
      <alignment horizontal="center"/>
    </xf>
    <xf numFmtId="0" fontId="26" fillId="16" borderId="1" xfId="0" applyFont="1" applyFill="1" applyBorder="1"/>
    <xf numFmtId="0" fontId="17" fillId="17" borderId="6" xfId="0" applyFont="1" applyFill="1" applyBorder="1"/>
    <xf numFmtId="4" fontId="28" fillId="17" borderId="12" xfId="0" applyNumberFormat="1" applyFont="1" applyFill="1" applyBorder="1" applyAlignment="1">
      <alignment horizontal="right"/>
    </xf>
    <xf numFmtId="4" fontId="28" fillId="17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left" vertical="center"/>
    </xf>
    <xf numFmtId="20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6" fillId="11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1" xfId="0" applyFont="1" applyBorder="1"/>
    <xf numFmtId="0" fontId="8" fillId="7" borderId="1" xfId="0" applyFont="1" applyFill="1" applyBorder="1" applyAlignment="1">
      <alignment horizontal="left"/>
    </xf>
    <xf numFmtId="0" fontId="6" fillId="7" borderId="1" xfId="0" applyFont="1" applyFill="1" applyBorder="1"/>
    <xf numFmtId="0" fontId="9" fillId="5" borderId="0" xfId="0" applyFont="1" applyFill="1" applyAlignment="1">
      <alignment horizontal="left" wrapText="1"/>
    </xf>
    <xf numFmtId="0" fontId="11" fillId="0" borderId="6" xfId="0" applyFont="1" applyBorder="1"/>
    <xf numFmtId="0" fontId="11" fillId="14" borderId="6" xfId="0" applyFont="1" applyFill="1" applyBorder="1"/>
    <xf numFmtId="0" fontId="16" fillId="14" borderId="0" xfId="0" applyFont="1" applyFill="1" applyAlignment="1">
      <alignment horizontal="right" indent="1"/>
    </xf>
    <xf numFmtId="0" fontId="18" fillId="14" borderId="6" xfId="0" applyFont="1" applyFill="1" applyBorder="1" applyAlignment="1">
      <alignment horizontal="center"/>
    </xf>
    <xf numFmtId="0" fontId="11" fillId="14" borderId="6" xfId="0" applyFont="1" applyFill="1" applyBorder="1" applyAlignment="1">
      <alignment horizontal="center"/>
    </xf>
    <xf numFmtId="176" fontId="18" fillId="14" borderId="6" xfId="0" applyNumberFormat="1" applyFont="1" applyFill="1" applyBorder="1" applyAlignment="1">
      <alignment horizontal="center"/>
    </xf>
    <xf numFmtId="0" fontId="18" fillId="14" borderId="6" xfId="0" applyFont="1" applyFill="1" applyBorder="1"/>
    <xf numFmtId="0" fontId="22" fillId="0" borderId="0" xfId="0" applyFont="1" applyAlignment="1">
      <alignment vertical="center"/>
    </xf>
    <xf numFmtId="0" fontId="23" fillId="15" borderId="3" xfId="0" applyFont="1" applyFill="1" applyBorder="1" applyAlignment="1">
      <alignment vertical="center"/>
    </xf>
    <xf numFmtId="0" fontId="17" fillId="0" borderId="0" xfId="0" applyFont="1"/>
    <xf numFmtId="0" fontId="17" fillId="0" borderId="1" xfId="0" applyFont="1" applyBorder="1" applyAlignment="1">
      <alignment horizontal="center" wrapText="1"/>
    </xf>
    <xf numFmtId="0" fontId="30" fillId="0" borderId="0" xfId="0" applyFont="1" applyAlignment="1">
      <alignment horizontal="center" vertical="center" wrapText="1"/>
    </xf>
    <xf numFmtId="0" fontId="30" fillId="18" borderId="13" xfId="0" applyFont="1" applyFill="1" applyBorder="1" applyAlignment="1">
      <alignment horizontal="center" vertical="center" wrapText="1"/>
    </xf>
    <xf numFmtId="0" fontId="31" fillId="0" borderId="14" xfId="0" applyFont="1" applyBorder="1"/>
    <xf numFmtId="0" fontId="31" fillId="0" borderId="15" xfId="0" applyFont="1" applyBorder="1"/>
    <xf numFmtId="4" fontId="30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0" fillId="18" borderId="16" xfId="0" applyFont="1" applyFill="1" applyBorder="1" applyAlignment="1">
      <alignment horizontal="center" vertical="center" wrapText="1"/>
    </xf>
    <xf numFmtId="0" fontId="30" fillId="18" borderId="17" xfId="0" applyFont="1" applyFill="1" applyBorder="1" applyAlignment="1">
      <alignment horizontal="center" vertical="center" wrapText="1"/>
    </xf>
    <xf numFmtId="4" fontId="30" fillId="18" borderId="17" xfId="0" applyNumberFormat="1" applyFont="1" applyFill="1" applyBorder="1" applyAlignment="1">
      <alignment horizontal="center" vertical="center" wrapText="1"/>
    </xf>
    <xf numFmtId="4" fontId="30" fillId="18" borderId="18" xfId="0" applyNumberFormat="1" applyFont="1" applyFill="1" applyBorder="1" applyAlignment="1">
      <alignment horizontal="center" vertical="center" wrapText="1"/>
    </xf>
    <xf numFmtId="0" fontId="30" fillId="18" borderId="19" xfId="0" applyFont="1" applyFill="1" applyBorder="1" applyAlignment="1">
      <alignment horizontal="center" vertical="center"/>
    </xf>
    <xf numFmtId="0" fontId="30" fillId="18" borderId="19" xfId="0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4F81BD"/>
      <rgbColor rgb="FF9999FF"/>
      <rgbColor rgb="FF993366"/>
      <rgbColor rgb="FFFFFFD6"/>
      <rgbColor rgb="FFDAEEF3"/>
      <rgbColor rgb="FF660066"/>
      <rgbColor rgb="FFFF8080"/>
      <rgbColor rgb="FF0070C0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F3F3F3"/>
      <rgbColor rgb="FFFFD966"/>
      <rgbColor rgb="FF95B3D7"/>
      <rgbColor rgb="FFD9D9D9"/>
      <rgbColor rgb="FFD8D8D8"/>
      <rgbColor rgb="FFFFE599"/>
      <rgbColor rgb="FF0E67FF"/>
      <rgbColor rgb="FF4BACC6"/>
      <rgbColor rgb="FF99CC00"/>
      <rgbColor rgb="FFFFCC00"/>
      <rgbColor rgb="FFFF9900"/>
      <rgbColor rgb="FFFF6600"/>
      <rgbColor rgb="FF5F497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4BACC6"/>
    <pageSetUpPr fitToPage="1"/>
  </sheetPr>
  <dimension ref="A1:L29"/>
  <sheetViews>
    <sheetView topLeftCell="A16" zoomScaleNormal="100" workbookViewId="0"/>
  </sheetViews>
  <sheetFormatPr defaultColWidth="14.44140625" defaultRowHeight="14.4"/>
  <cols>
    <col min="1" max="1" width="14.33203125" customWidth="1"/>
    <col min="2" max="2" width="11.6640625" customWidth="1"/>
    <col min="3" max="3" width="10.6640625" customWidth="1"/>
    <col min="4" max="5" width="8.6640625" customWidth="1"/>
    <col min="6" max="6" width="10.5546875" customWidth="1"/>
    <col min="7" max="7" width="12.88671875" customWidth="1"/>
    <col min="8" max="8" width="14" customWidth="1"/>
    <col min="9" max="9" width="16" customWidth="1"/>
    <col min="10" max="10" width="6.109375" customWidth="1"/>
    <col min="11" max="12" width="9.109375" customWidth="1"/>
  </cols>
  <sheetData>
    <row r="1" spans="1:12" ht="15" customHeight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5" customHeight="1">
      <c r="A2" s="293" t="s">
        <v>0</v>
      </c>
      <c r="B2" s="293"/>
      <c r="C2" s="293"/>
      <c r="D2" s="293"/>
      <c r="E2" s="293"/>
      <c r="F2" s="293"/>
      <c r="G2" s="293"/>
      <c r="H2" s="293"/>
      <c r="I2" s="293"/>
      <c r="J2" s="9"/>
      <c r="K2" s="8"/>
      <c r="L2" s="8"/>
    </row>
    <row r="3" spans="1:12" ht="15" customHeight="1">
      <c r="A3" s="5" t="s">
        <v>1</v>
      </c>
      <c r="B3" s="287"/>
      <c r="C3" s="287"/>
      <c r="D3" s="287"/>
      <c r="E3" s="287"/>
      <c r="F3" s="287"/>
      <c r="G3" s="287"/>
      <c r="H3" s="287"/>
      <c r="I3" s="287"/>
      <c r="J3" s="4"/>
      <c r="K3" s="8"/>
      <c r="L3" s="8"/>
    </row>
    <row r="4" spans="1:12" ht="15" customHeight="1">
      <c r="A4" s="5" t="s">
        <v>2</v>
      </c>
      <c r="B4" s="7"/>
      <c r="C4" s="10"/>
      <c r="D4" s="10"/>
      <c r="E4" s="10"/>
      <c r="F4" s="10"/>
      <c r="G4" s="10"/>
      <c r="H4" s="10"/>
      <c r="I4" s="10"/>
      <c r="J4" s="4"/>
      <c r="K4" s="8"/>
      <c r="L4" s="8"/>
    </row>
    <row r="5" spans="1:12" ht="15" customHeight="1">
      <c r="A5" s="5" t="s">
        <v>3</v>
      </c>
      <c r="B5" s="294"/>
      <c r="C5" s="294"/>
      <c r="D5" s="294"/>
      <c r="E5" s="294"/>
      <c r="F5" s="294"/>
      <c r="G5" s="294"/>
      <c r="H5" s="294"/>
      <c r="I5" s="294"/>
      <c r="J5" s="4"/>
      <c r="K5" s="8"/>
      <c r="L5" s="8"/>
    </row>
    <row r="6" spans="1:12" ht="15" customHeight="1">
      <c r="A6" s="5" t="s">
        <v>4</v>
      </c>
      <c r="B6" s="295"/>
      <c r="C6" s="295"/>
      <c r="D6" s="295"/>
      <c r="E6" s="295"/>
      <c r="F6" s="295"/>
      <c r="G6" s="295"/>
      <c r="H6" s="295"/>
      <c r="I6" s="295"/>
      <c r="J6" s="4"/>
      <c r="K6" s="8"/>
      <c r="L6" s="8"/>
    </row>
    <row r="7" spans="1:12" ht="1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51.75" customHeight="1">
      <c r="A8" s="11" t="s">
        <v>5</v>
      </c>
      <c r="B8" s="296" t="s">
        <v>6</v>
      </c>
      <c r="C8" s="296"/>
      <c r="D8" s="296"/>
      <c r="E8" s="296"/>
      <c r="F8" s="296"/>
      <c r="G8" s="296"/>
      <c r="H8" s="296"/>
      <c r="I8" s="296"/>
      <c r="J8" s="12"/>
      <c r="K8" s="8"/>
      <c r="L8" s="8"/>
    </row>
    <row r="9" spans="1:12" ht="1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ht="15" customHeight="1">
      <c r="A10" s="292" t="s">
        <v>7</v>
      </c>
      <c r="B10" s="292"/>
      <c r="C10" s="292"/>
      <c r="D10" s="292"/>
      <c r="E10" s="292"/>
      <c r="F10" s="292"/>
      <c r="G10" s="292"/>
      <c r="H10" s="292"/>
      <c r="I10" s="292"/>
      <c r="J10" s="6"/>
      <c r="K10" s="8"/>
      <c r="L10" s="8"/>
    </row>
    <row r="11" spans="1:12" ht="15" customHeight="1">
      <c r="A11" s="286" t="s">
        <v>8</v>
      </c>
      <c r="B11" s="286"/>
      <c r="C11" s="291"/>
      <c r="D11" s="291"/>
      <c r="E11" s="291"/>
      <c r="F11" s="291"/>
      <c r="G11" s="291"/>
      <c r="H11" s="291"/>
      <c r="I11" s="291"/>
      <c r="J11" s="4"/>
      <c r="K11" s="8"/>
      <c r="L11" s="8"/>
    </row>
    <row r="12" spans="1:12" ht="15" customHeight="1">
      <c r="A12" s="286" t="s">
        <v>9</v>
      </c>
      <c r="B12" s="286"/>
      <c r="C12" s="291"/>
      <c r="D12" s="291"/>
      <c r="E12" s="291"/>
      <c r="F12" s="291"/>
      <c r="G12" s="291"/>
      <c r="H12" s="291"/>
      <c r="I12" s="291"/>
      <c r="J12" s="4"/>
      <c r="K12" s="8"/>
      <c r="L12" s="8"/>
    </row>
    <row r="13" spans="1:12" ht="15" customHeight="1">
      <c r="A13" s="286" t="s">
        <v>10</v>
      </c>
      <c r="B13" s="286"/>
      <c r="C13" s="291"/>
      <c r="D13" s="291"/>
      <c r="E13" s="291"/>
      <c r="F13" s="291"/>
      <c r="G13" s="291"/>
      <c r="H13" s="291"/>
      <c r="I13" s="291"/>
      <c r="J13" s="4"/>
      <c r="K13" s="8"/>
      <c r="L13" s="8"/>
    </row>
    <row r="14" spans="1:12" ht="15" customHeight="1">
      <c r="A14" s="286" t="s">
        <v>11</v>
      </c>
      <c r="B14" s="286"/>
      <c r="C14" s="291"/>
      <c r="D14" s="291"/>
      <c r="E14" s="291"/>
      <c r="F14" s="291"/>
      <c r="G14" s="291"/>
      <c r="H14" s="291"/>
      <c r="I14" s="291"/>
      <c r="J14" s="4"/>
      <c r="K14" s="8"/>
      <c r="L14" s="8"/>
    </row>
    <row r="15" spans="1:12" ht="15" customHeight="1">
      <c r="A15" s="286" t="s">
        <v>12</v>
      </c>
      <c r="B15" s="286"/>
      <c r="C15" s="291"/>
      <c r="D15" s="291"/>
      <c r="E15" s="291"/>
      <c r="F15" s="291"/>
      <c r="G15" s="291"/>
      <c r="H15" s="291"/>
      <c r="I15" s="291"/>
      <c r="J15" s="4"/>
      <c r="K15" s="8"/>
      <c r="L15" s="8"/>
    </row>
    <row r="16" spans="1:12" ht="15" customHeight="1">
      <c r="A16" s="286" t="s">
        <v>13</v>
      </c>
      <c r="B16" s="286"/>
      <c r="C16" s="291"/>
      <c r="D16" s="291"/>
      <c r="E16" s="291"/>
      <c r="F16" s="291"/>
      <c r="G16" s="291"/>
      <c r="H16" s="291"/>
      <c r="I16" s="291"/>
      <c r="J16" s="4"/>
      <c r="K16" s="8"/>
      <c r="L16" s="8"/>
    </row>
    <row r="17" spans="1:12" ht="15" customHeight="1">
      <c r="A17" s="292" t="s">
        <v>14</v>
      </c>
      <c r="B17" s="292"/>
      <c r="C17" s="292"/>
      <c r="D17" s="292"/>
      <c r="E17" s="292"/>
      <c r="F17" s="292"/>
      <c r="G17" s="292"/>
      <c r="H17" s="292"/>
      <c r="I17" s="292"/>
      <c r="J17" s="6"/>
      <c r="K17" s="8"/>
      <c r="L17" s="8"/>
    </row>
    <row r="18" spans="1:12" ht="15" customHeight="1">
      <c r="A18" s="286" t="s">
        <v>15</v>
      </c>
      <c r="B18" s="286"/>
      <c r="C18" s="291"/>
      <c r="D18" s="291"/>
      <c r="E18" s="291"/>
      <c r="F18" s="291"/>
      <c r="G18" s="291"/>
      <c r="H18" s="291"/>
      <c r="I18" s="291"/>
      <c r="J18" s="4"/>
      <c r="K18" s="8"/>
      <c r="L18" s="8"/>
    </row>
    <row r="19" spans="1:12" ht="15" customHeight="1">
      <c r="A19" s="286" t="s">
        <v>16</v>
      </c>
      <c r="B19" s="286"/>
      <c r="C19" s="291"/>
      <c r="D19" s="291"/>
      <c r="E19" s="291"/>
      <c r="F19" s="291"/>
      <c r="G19" s="291"/>
      <c r="H19" s="291"/>
      <c r="I19" s="291"/>
      <c r="J19" s="4"/>
      <c r="K19" s="8"/>
      <c r="L19" s="8"/>
    </row>
    <row r="20" spans="1:12" ht="15" customHeight="1">
      <c r="A20" s="286" t="s">
        <v>17</v>
      </c>
      <c r="B20" s="286"/>
      <c r="C20" s="287"/>
      <c r="D20" s="287"/>
      <c r="E20" s="287"/>
      <c r="F20" s="287"/>
      <c r="G20" s="287"/>
      <c r="H20" s="287"/>
      <c r="I20" s="287"/>
      <c r="J20" s="4"/>
      <c r="K20" s="8"/>
      <c r="L20" s="8"/>
    </row>
    <row r="21" spans="1:12" ht="15" customHeight="1">
      <c r="A21" s="286" t="s">
        <v>18</v>
      </c>
      <c r="B21" s="286"/>
      <c r="C21" s="287"/>
      <c r="D21" s="287"/>
      <c r="E21" s="287"/>
      <c r="F21" s="287"/>
      <c r="G21" s="287"/>
      <c r="H21" s="287"/>
      <c r="I21" s="287"/>
      <c r="J21" s="4"/>
      <c r="K21" s="8"/>
      <c r="L21" s="8"/>
    </row>
    <row r="22" spans="1:12" ht="15" customHeight="1">
      <c r="A22" s="286" t="s">
        <v>12</v>
      </c>
      <c r="B22" s="286"/>
      <c r="C22" s="287"/>
      <c r="D22" s="287"/>
      <c r="E22" s="287"/>
      <c r="F22" s="287"/>
      <c r="G22" s="287"/>
      <c r="H22" s="287"/>
      <c r="I22" s="287"/>
      <c r="J22" s="4"/>
      <c r="K22" s="8"/>
      <c r="L22" s="8"/>
    </row>
    <row r="23" spans="1:12" ht="15" customHeight="1">
      <c r="A23" s="5"/>
      <c r="B23" s="5"/>
      <c r="C23" s="4"/>
      <c r="D23" s="4"/>
      <c r="E23" s="4"/>
      <c r="F23" s="4"/>
      <c r="G23" s="4"/>
      <c r="H23" s="4"/>
      <c r="I23" s="4"/>
      <c r="J23" s="4"/>
      <c r="K23" s="8"/>
      <c r="L23" s="8"/>
    </row>
    <row r="24" spans="1:12" ht="15" customHeight="1">
      <c r="A24" s="13" t="s">
        <v>19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</row>
    <row r="25" spans="1:12" ht="12.75" customHeight="1">
      <c r="A25" s="3" t="s">
        <v>20</v>
      </c>
      <c r="B25" s="288" t="s">
        <v>21</v>
      </c>
      <c r="C25" s="288"/>
      <c r="D25" s="288"/>
      <c r="E25" s="288"/>
      <c r="F25" s="3" t="s">
        <v>22</v>
      </c>
      <c r="G25" s="3" t="s">
        <v>23</v>
      </c>
      <c r="H25" s="3" t="s">
        <v>24</v>
      </c>
      <c r="I25" s="3" t="s">
        <v>25</v>
      </c>
      <c r="J25" s="9"/>
      <c r="K25" s="8"/>
      <c r="L25" s="8"/>
    </row>
    <row r="26" spans="1:12" ht="114.75" customHeight="1">
      <c r="A26" s="14">
        <v>4</v>
      </c>
      <c r="B26" s="289" t="s">
        <v>26</v>
      </c>
      <c r="C26" s="289"/>
      <c r="D26" s="289"/>
      <c r="E26" s="289"/>
      <c r="F26" s="14" t="s">
        <v>27</v>
      </c>
      <c r="G26" s="14">
        <v>12</v>
      </c>
      <c r="H26" s="15">
        <f>M²!H70</f>
        <v>26427.767260039567</v>
      </c>
      <c r="I26" s="15">
        <f>(H26*G26)</f>
        <v>317133.20712047478</v>
      </c>
      <c r="J26" s="16"/>
      <c r="K26" s="8"/>
      <c r="L26" s="8"/>
    </row>
    <row r="27" spans="1:12" ht="16.5" customHeight="1">
      <c r="A27" s="17"/>
      <c r="B27" s="18" t="s">
        <v>28</v>
      </c>
      <c r="C27" s="19"/>
      <c r="D27" s="19"/>
      <c r="E27" s="20"/>
      <c r="F27" s="21"/>
      <c r="G27" s="22"/>
      <c r="H27" s="23"/>
      <c r="I27" s="24">
        <f>SUM(I26)</f>
        <v>317133.20712047478</v>
      </c>
      <c r="J27" s="25"/>
      <c r="K27" s="8"/>
      <c r="L27" s="8"/>
    </row>
    <row r="28" spans="1:12" ht="15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1:12" ht="15" customHeight="1">
      <c r="A29" s="290" t="s">
        <v>29</v>
      </c>
      <c r="B29" s="290"/>
    </row>
  </sheetData>
  <mergeCells count="32">
    <mergeCell ref="A2:I2"/>
    <mergeCell ref="B3:I3"/>
    <mergeCell ref="B5:I5"/>
    <mergeCell ref="B6:I6"/>
    <mergeCell ref="B8:I8"/>
    <mergeCell ref="A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B15"/>
    <mergeCell ref="C15:I15"/>
    <mergeCell ref="A16:B16"/>
    <mergeCell ref="C16:I16"/>
    <mergeCell ref="A17:I17"/>
    <mergeCell ref="A18:B18"/>
    <mergeCell ref="C18:I18"/>
    <mergeCell ref="A19:B19"/>
    <mergeCell ref="C19:I19"/>
    <mergeCell ref="A20:B20"/>
    <mergeCell ref="C20:I20"/>
    <mergeCell ref="A21:B21"/>
    <mergeCell ref="C21:I21"/>
    <mergeCell ref="A22:B22"/>
    <mergeCell ref="C22:I22"/>
    <mergeCell ref="B25:E25"/>
    <mergeCell ref="B26:E26"/>
    <mergeCell ref="A29:B29"/>
  </mergeCells>
  <printOptions horizontalCentered="1"/>
  <pageMargins left="0.25" right="0.25" top="0.75" bottom="0.75" header="0.3" footer="0.3"/>
  <pageSetup paperSize="9" orientation="portrait" horizontalDpi="300" verticalDpi="300"/>
  <headerFooter>
    <oddHeader>&amp;R &amp;F &amp;A</oddHeader>
    <oddFooter>&amp;C&amp;P/&amp;RGestão Formal de Contratos (visto)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BACC6"/>
    <pageSetUpPr fitToPage="1"/>
  </sheetPr>
  <dimension ref="A1:R127"/>
  <sheetViews>
    <sheetView topLeftCell="A16" zoomScaleNormal="100" workbookViewId="0">
      <selection activeCell="H24" sqref="H24"/>
    </sheetView>
  </sheetViews>
  <sheetFormatPr defaultColWidth="14.44140625" defaultRowHeight="14.4"/>
  <cols>
    <col min="1" max="1" width="6.88671875" customWidth="1"/>
    <col min="2" max="2" width="39.109375" customWidth="1"/>
    <col min="3" max="3" width="8.77734375" customWidth="1"/>
    <col min="4" max="4" width="14.33203125" customWidth="1"/>
    <col min="5" max="5" width="14" customWidth="1"/>
    <col min="6" max="6" width="10.5546875" customWidth="1"/>
    <col min="7" max="7" width="10.109375" customWidth="1"/>
    <col min="8" max="8" width="10.44140625" customWidth="1"/>
    <col min="9" max="18" width="8.88671875" customWidth="1"/>
  </cols>
  <sheetData>
    <row r="1" spans="1:18" ht="12.75" customHeight="1">
      <c r="A1" s="26" t="s">
        <v>30</v>
      </c>
      <c r="B1" s="26"/>
      <c r="C1" s="27"/>
      <c r="D1" s="26"/>
      <c r="E1" s="26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18" ht="12.75" customHeight="1">
      <c r="A2" s="26"/>
      <c r="B2" s="26" t="s">
        <v>31</v>
      </c>
      <c r="C2" s="28"/>
      <c r="D2" s="29"/>
      <c r="E2" s="29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ht="12.75" customHeight="1">
      <c r="A3" s="26"/>
      <c r="B3" s="30" t="s">
        <v>32</v>
      </c>
      <c r="C3" s="28"/>
      <c r="D3" s="29"/>
      <c r="E3" s="29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ht="12.75" customHeight="1">
      <c r="A4" s="31" t="s">
        <v>33</v>
      </c>
      <c r="B4" s="31"/>
      <c r="C4" s="28"/>
      <c r="D4" s="31"/>
      <c r="E4" s="31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ht="12.75" customHeight="1">
      <c r="A5" s="32" t="s">
        <v>34</v>
      </c>
      <c r="B5" s="33" t="s">
        <v>35</v>
      </c>
      <c r="C5" s="28"/>
      <c r="D5" s="34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8" ht="12.75" customHeight="1">
      <c r="A6" s="35" t="s">
        <v>36</v>
      </c>
      <c r="B6" s="33" t="s">
        <v>37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ht="12.75" customHeight="1">
      <c r="A7" s="32" t="s">
        <v>38</v>
      </c>
      <c r="B7" s="33" t="s">
        <v>39</v>
      </c>
      <c r="C7" s="28"/>
      <c r="D7" s="36"/>
      <c r="E7" s="37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8" ht="12.75" customHeight="1">
      <c r="A8" s="35" t="s">
        <v>40</v>
      </c>
      <c r="B8" s="33" t="s">
        <v>41</v>
      </c>
      <c r="C8" s="28"/>
      <c r="D8" s="38"/>
      <c r="E8" s="3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18" ht="12.75" customHeight="1">
      <c r="A9" s="26" t="s">
        <v>42</v>
      </c>
      <c r="B9" s="31"/>
      <c r="C9" s="28"/>
      <c r="D9" s="31"/>
      <c r="E9" s="31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</row>
    <row r="10" spans="1:18" ht="12.75" customHeight="1">
      <c r="A10" s="39"/>
      <c r="B10" s="40" t="s">
        <v>43</v>
      </c>
      <c r="C10" s="41"/>
      <c r="D10" s="42" t="s">
        <v>44</v>
      </c>
      <c r="E10" s="42" t="s">
        <v>45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</row>
    <row r="11" spans="1:18" ht="12.75" customHeight="1">
      <c r="A11" s="39"/>
      <c r="B11" s="40" t="s">
        <v>46</v>
      </c>
      <c r="C11" s="41"/>
      <c r="D11" s="42">
        <v>1</v>
      </c>
      <c r="E11" s="42">
        <v>1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</row>
    <row r="12" spans="1:18" ht="12.75" customHeight="1">
      <c r="A12" s="39"/>
      <c r="B12" s="40" t="s">
        <v>47</v>
      </c>
      <c r="C12" s="41"/>
      <c r="D12" s="42">
        <v>22</v>
      </c>
      <c r="E12" s="42">
        <v>22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</row>
    <row r="13" spans="1:18" ht="12.75" customHeight="1">
      <c r="A13" s="39"/>
      <c r="B13" s="40" t="s">
        <v>48</v>
      </c>
      <c r="C13" s="41"/>
      <c r="D13" s="42">
        <v>44</v>
      </c>
      <c r="E13" s="42">
        <v>44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</row>
    <row r="14" spans="1:18" ht="12.75" customHeight="1">
      <c r="A14" s="26" t="s">
        <v>49</v>
      </c>
      <c r="B14" s="26"/>
      <c r="C14" s="27"/>
      <c r="D14" s="26"/>
      <c r="E14" s="26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</row>
    <row r="15" spans="1:18" ht="12.75" customHeight="1">
      <c r="A15" s="43">
        <v>1</v>
      </c>
      <c r="B15" s="44" t="s">
        <v>50</v>
      </c>
      <c r="C15" s="41"/>
      <c r="D15" s="45" t="str">
        <f>D10</f>
        <v>Servente de Limpeza</v>
      </c>
      <c r="E15" s="45" t="str">
        <f>E10</f>
        <v>Servente de Limpeza (periculosidade)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spans="1:18" ht="12.75" customHeight="1">
      <c r="A16" s="43">
        <v>2</v>
      </c>
      <c r="B16" s="303" t="s">
        <v>51</v>
      </c>
      <c r="C16" s="303"/>
      <c r="D16" s="46" t="s">
        <v>52</v>
      </c>
      <c r="E16" s="47" t="s">
        <v>52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</row>
    <row r="17" spans="1:18" ht="12.75" customHeight="1">
      <c r="A17" s="43">
        <v>3</v>
      </c>
      <c r="B17" s="303" t="s">
        <v>53</v>
      </c>
      <c r="C17" s="303"/>
      <c r="D17" s="48">
        <v>1653.63</v>
      </c>
      <c r="E17" s="48">
        <f>D17</f>
        <v>1653.63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ht="12.75" customHeight="1">
      <c r="A18" s="43">
        <v>4</v>
      </c>
      <c r="B18" s="303" t="s">
        <v>54</v>
      </c>
      <c r="C18" s="303"/>
      <c r="D18" s="49" t="str">
        <f>D10</f>
        <v>Servente de Limpeza</v>
      </c>
      <c r="E18" s="49" t="str">
        <f>E10</f>
        <v>Servente de Limpeza (periculosidade)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</row>
    <row r="19" spans="1:18" ht="12.75" customHeight="1">
      <c r="A19" s="43">
        <v>5</v>
      </c>
      <c r="B19" s="303" t="s">
        <v>55</v>
      </c>
      <c r="C19" s="303"/>
      <c r="D19" s="50">
        <v>45658</v>
      </c>
      <c r="E19" s="50">
        <f>D19</f>
        <v>45658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18" ht="12.75" customHeight="1">
      <c r="A20" s="26"/>
      <c r="B20" s="31"/>
      <c r="C20" s="28"/>
      <c r="D20" s="31"/>
      <c r="E20" s="31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</row>
    <row r="21" spans="1:18" ht="12.75" customHeight="1">
      <c r="A21" s="1"/>
      <c r="B21" s="51" t="s">
        <v>56</v>
      </c>
      <c r="C21" s="1"/>
      <c r="D21" s="52"/>
      <c r="E21" s="52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</row>
    <row r="22" spans="1:18" ht="12.75" customHeight="1">
      <c r="A22" s="53">
        <v>1</v>
      </c>
      <c r="B22" s="54" t="s">
        <v>57</v>
      </c>
      <c r="C22" s="55" t="s">
        <v>58</v>
      </c>
      <c r="D22" s="56" t="s">
        <v>59</v>
      </c>
      <c r="E22" s="57" t="s">
        <v>59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ht="12.75" customHeight="1">
      <c r="A23" s="58" t="s">
        <v>34</v>
      </c>
      <c r="B23" s="2" t="s">
        <v>60</v>
      </c>
      <c r="C23" s="59"/>
      <c r="D23" s="60">
        <f>D17</f>
        <v>1653.63</v>
      </c>
      <c r="E23" s="60">
        <f>E17</f>
        <v>1653.63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12.75" customHeight="1">
      <c r="A24" s="58" t="s">
        <v>36</v>
      </c>
      <c r="B24" s="2" t="s">
        <v>61</v>
      </c>
      <c r="C24" s="61">
        <v>0.3</v>
      </c>
      <c r="D24" s="60">
        <v>0</v>
      </c>
      <c r="E24" s="60">
        <f>E23*C24</f>
        <v>496.089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</row>
    <row r="25" spans="1:18" ht="12.75" customHeight="1">
      <c r="A25" s="58" t="s">
        <v>62</v>
      </c>
      <c r="B25" s="2" t="s">
        <v>63</v>
      </c>
      <c r="C25" s="61">
        <v>0.2</v>
      </c>
      <c r="D25" s="60">
        <f>D23*C25</f>
        <v>330.72600000000006</v>
      </c>
      <c r="E25" s="60">
        <v>0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</row>
    <row r="26" spans="1:18" ht="12.75" customHeight="1">
      <c r="A26" s="58" t="s">
        <v>40</v>
      </c>
      <c r="B26" s="2" t="s">
        <v>64</v>
      </c>
      <c r="C26" s="59"/>
      <c r="D26" s="60">
        <v>0</v>
      </c>
      <c r="E26" s="60">
        <v>0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</row>
    <row r="27" spans="1:18" ht="12.75" customHeight="1">
      <c r="A27" s="58" t="s">
        <v>65</v>
      </c>
      <c r="B27" s="2" t="s">
        <v>66</v>
      </c>
      <c r="C27" s="59"/>
      <c r="D27" s="60">
        <v>0</v>
      </c>
      <c r="E27" s="60">
        <v>0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</row>
    <row r="28" spans="1:18" ht="12.75" customHeight="1">
      <c r="A28" s="58" t="s">
        <v>67</v>
      </c>
      <c r="B28" s="2" t="s">
        <v>68</v>
      </c>
      <c r="C28" s="59"/>
      <c r="D28" s="60">
        <v>0</v>
      </c>
      <c r="E28" s="60">
        <v>0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</row>
    <row r="29" spans="1:18" ht="12.75" customHeight="1">
      <c r="A29" s="1"/>
      <c r="B29" s="51" t="s">
        <v>69</v>
      </c>
      <c r="C29" s="1"/>
      <c r="D29" s="62">
        <f>SUM(D23:D28)</f>
        <v>1984.3560000000002</v>
      </c>
      <c r="E29" s="63">
        <f>SUM(E23:E28)</f>
        <v>2149.7190000000001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</row>
    <row r="30" spans="1:18" ht="12.75" customHeight="1">
      <c r="A30" s="300" t="s">
        <v>70</v>
      </c>
      <c r="B30" s="300"/>
      <c r="C30" s="300"/>
      <c r="D30" s="300"/>
      <c r="E30" s="30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1:18" ht="12.75" customHeight="1">
      <c r="A31" s="300" t="s">
        <v>71</v>
      </c>
      <c r="B31" s="300"/>
      <c r="C31" s="300"/>
      <c r="D31" s="300"/>
      <c r="E31" s="300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</row>
    <row r="32" spans="1:18" ht="12.75" customHeight="1">
      <c r="A32" s="57" t="s">
        <v>72</v>
      </c>
      <c r="B32" s="51" t="s">
        <v>73</v>
      </c>
      <c r="C32" s="55" t="s">
        <v>58</v>
      </c>
      <c r="D32" s="56" t="s">
        <v>59</v>
      </c>
      <c r="E32" s="57" t="s">
        <v>59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</row>
    <row r="33" spans="1:18" ht="12.75" customHeight="1">
      <c r="A33" s="58" t="s">
        <v>34</v>
      </c>
      <c r="B33" s="2" t="s">
        <v>74</v>
      </c>
      <c r="C33" s="61">
        <f>1/12</f>
        <v>8.3333333333333329E-2</v>
      </c>
      <c r="D33" s="60">
        <f>D29*C33</f>
        <v>165.363</v>
      </c>
      <c r="E33" s="60">
        <f>E29*C33</f>
        <v>179.14324999999999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</row>
    <row r="34" spans="1:18" ht="12.75" customHeight="1">
      <c r="A34" s="58" t="s">
        <v>36</v>
      </c>
      <c r="B34" s="2" t="s">
        <v>75</v>
      </c>
      <c r="C34" s="61">
        <f>(1/12)/3</f>
        <v>2.7777777777777776E-2</v>
      </c>
      <c r="D34" s="60">
        <f>D29*C34</f>
        <v>55.121000000000002</v>
      </c>
      <c r="E34" s="60">
        <f>E29*C34</f>
        <v>59.714416666666665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</row>
    <row r="35" spans="1:18" ht="12.75" customHeight="1">
      <c r="A35" s="1"/>
      <c r="B35" s="51" t="s">
        <v>69</v>
      </c>
      <c r="C35" s="64">
        <f>SUM(C33:C34)</f>
        <v>0.1111111111111111</v>
      </c>
      <c r="D35" s="65">
        <f>SUM(D33:D34)</f>
        <v>220.48400000000001</v>
      </c>
      <c r="E35" s="65">
        <f>SUM(E33:E34)</f>
        <v>238.85766666666666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</row>
    <row r="36" spans="1:18" ht="12.75" customHeight="1">
      <c r="A36" s="301"/>
      <c r="B36" s="301"/>
      <c r="C36" s="301"/>
      <c r="D36" s="301"/>
      <c r="E36" s="301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37" spans="1:18" ht="12.75" customHeight="1">
      <c r="A37" s="302" t="s">
        <v>76</v>
      </c>
      <c r="B37" s="302"/>
      <c r="C37" s="302"/>
      <c r="D37" s="65">
        <f>D35+D29</f>
        <v>2204.84</v>
      </c>
      <c r="E37" s="65">
        <f>E35+E29</f>
        <v>2388.5766666666668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</row>
    <row r="38" spans="1:18" ht="12.75" customHeight="1">
      <c r="A38" s="66" t="s">
        <v>77</v>
      </c>
      <c r="B38" s="2"/>
      <c r="C38" s="59"/>
      <c r="D38" s="2"/>
      <c r="E38" s="2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</row>
    <row r="39" spans="1:18" ht="12.75" customHeight="1">
      <c r="A39" s="57" t="s">
        <v>78</v>
      </c>
      <c r="B39" s="51" t="s">
        <v>79</v>
      </c>
      <c r="C39" s="55" t="s">
        <v>58</v>
      </c>
      <c r="D39" s="56" t="s">
        <v>59</v>
      </c>
      <c r="E39" s="57" t="s">
        <v>59</v>
      </c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</row>
    <row r="40" spans="1:18" ht="12.75" customHeight="1">
      <c r="A40" s="58" t="s">
        <v>34</v>
      </c>
      <c r="B40" s="2" t="s">
        <v>80</v>
      </c>
      <c r="C40" s="61">
        <v>0.2</v>
      </c>
      <c r="D40" s="60">
        <f>(D29+D35)*C40</f>
        <v>440.96800000000007</v>
      </c>
      <c r="E40" s="60">
        <f>(E29+E35)*C40</f>
        <v>477.71533333333338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</row>
    <row r="41" spans="1:18" ht="12.75" customHeight="1">
      <c r="A41" s="58" t="s">
        <v>36</v>
      </c>
      <c r="B41" s="2" t="s">
        <v>81</v>
      </c>
      <c r="C41" s="61">
        <v>2.5000000000000001E-2</v>
      </c>
      <c r="D41" s="60">
        <f>(D29+D35)*C41</f>
        <v>55.121000000000009</v>
      </c>
      <c r="E41" s="60">
        <f>(E29+E35)*C41</f>
        <v>59.714416666666672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</row>
    <row r="42" spans="1:18" ht="12.75" customHeight="1">
      <c r="A42" s="58" t="s">
        <v>62</v>
      </c>
      <c r="B42" s="2" t="s">
        <v>82</v>
      </c>
      <c r="C42" s="67">
        <v>0.03</v>
      </c>
      <c r="D42" s="60">
        <f>(D29+D35)*C42</f>
        <v>66.145200000000003</v>
      </c>
      <c r="E42" s="60">
        <f>(E29+E35)*C42</f>
        <v>71.657300000000006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</row>
    <row r="43" spans="1:18" ht="12.75" customHeight="1">
      <c r="A43" s="58" t="s">
        <v>40</v>
      </c>
      <c r="B43" s="2" t="s">
        <v>83</v>
      </c>
      <c r="C43" s="61">
        <v>1.4999999999999999E-2</v>
      </c>
      <c r="D43" s="60">
        <f>(D29+D35)*C43</f>
        <v>33.072600000000001</v>
      </c>
      <c r="E43" s="60">
        <f>(E29+E35)*C43</f>
        <v>35.828650000000003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</row>
    <row r="44" spans="1:18" ht="12.75" customHeight="1">
      <c r="A44" s="58" t="s">
        <v>65</v>
      </c>
      <c r="B44" s="2" t="s">
        <v>84</v>
      </c>
      <c r="C44" s="61">
        <v>0.01</v>
      </c>
      <c r="D44" s="60">
        <f>(D29+D35)*C44</f>
        <v>22.048400000000001</v>
      </c>
      <c r="E44" s="60">
        <f>(E29+E35)*C44</f>
        <v>23.885766666666669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</row>
    <row r="45" spans="1:18" ht="12.75" customHeight="1">
      <c r="A45" s="58" t="s">
        <v>67</v>
      </c>
      <c r="B45" s="2" t="s">
        <v>85</v>
      </c>
      <c r="C45" s="61">
        <v>6.0000000000000001E-3</v>
      </c>
      <c r="D45" s="60">
        <f>(D29+D35)*C45</f>
        <v>13.229040000000001</v>
      </c>
      <c r="E45" s="60">
        <f>(E29+E35)*C45</f>
        <v>14.331460000000002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</row>
    <row r="46" spans="1:18" ht="12.75" customHeight="1">
      <c r="A46" s="58" t="s">
        <v>86</v>
      </c>
      <c r="B46" s="2" t="s">
        <v>87</v>
      </c>
      <c r="C46" s="61">
        <v>2E-3</v>
      </c>
      <c r="D46" s="60">
        <f>(D29+D35)*C46</f>
        <v>4.4096800000000007</v>
      </c>
      <c r="E46" s="60">
        <f>(E29+E35)*C46</f>
        <v>4.7771533333333336</v>
      </c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</row>
    <row r="47" spans="1:18" ht="12.75" customHeight="1">
      <c r="A47" s="58" t="s">
        <v>88</v>
      </c>
      <c r="B47" s="2" t="s">
        <v>89</v>
      </c>
      <c r="C47" s="61">
        <v>0.08</v>
      </c>
      <c r="D47" s="60">
        <f>(D29+D35)*C47</f>
        <v>176.38720000000001</v>
      </c>
      <c r="E47" s="60">
        <f>(E29+E35)*C47</f>
        <v>191.08613333333335</v>
      </c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</row>
    <row r="48" spans="1:18" ht="12.75" customHeight="1">
      <c r="A48" s="1"/>
      <c r="B48" s="51" t="s">
        <v>69</v>
      </c>
      <c r="C48" s="68">
        <f>SUM(C40:C47)</f>
        <v>0.36800000000000005</v>
      </c>
      <c r="D48" s="65">
        <f>SUM(D40:D47)</f>
        <v>811.38112000000012</v>
      </c>
      <c r="E48" s="65">
        <f>SUM(E40:E47)</f>
        <v>878.99621333333334</v>
      </c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</row>
    <row r="49" spans="1:18" ht="12.75" customHeight="1">
      <c r="A49" s="300" t="s">
        <v>90</v>
      </c>
      <c r="B49" s="300"/>
      <c r="C49" s="300"/>
      <c r="D49" s="300"/>
      <c r="E49" s="300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</row>
    <row r="50" spans="1:18" ht="12.75" customHeight="1">
      <c r="A50" s="57" t="s">
        <v>91</v>
      </c>
      <c r="B50" s="51" t="s">
        <v>92</v>
      </c>
      <c r="C50" s="55" t="s">
        <v>58</v>
      </c>
      <c r="D50" s="56" t="s">
        <v>59</v>
      </c>
      <c r="E50" s="57" t="s">
        <v>59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</row>
    <row r="51" spans="1:18" ht="12.75" customHeight="1">
      <c r="A51" s="58" t="s">
        <v>34</v>
      </c>
      <c r="B51" s="2" t="s">
        <v>93</v>
      </c>
      <c r="C51" s="69">
        <v>5.5</v>
      </c>
      <c r="D51" s="60">
        <f>(C51*2*D12)-(D23*6%)</f>
        <v>142.78219999999999</v>
      </c>
      <c r="E51" s="60">
        <f>(C51*2*E12)-(E23*6%)</f>
        <v>142.78219999999999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</row>
    <row r="52" spans="1:18" ht="12.75" customHeight="1">
      <c r="A52" s="58" t="s">
        <v>36</v>
      </c>
      <c r="B52" s="2" t="s">
        <v>94</v>
      </c>
      <c r="C52" s="69">
        <v>27.29</v>
      </c>
      <c r="D52" s="60">
        <f>(C52*D12)*0.99</f>
        <v>594.37620000000004</v>
      </c>
      <c r="E52" s="60">
        <f>C52*E12*0.99</f>
        <v>594.37620000000004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</row>
    <row r="53" spans="1:18" ht="12.75" customHeight="1">
      <c r="A53" s="58" t="s">
        <v>62</v>
      </c>
      <c r="B53" s="2" t="s">
        <v>95</v>
      </c>
      <c r="C53" s="69">
        <v>11</v>
      </c>
      <c r="D53" s="60">
        <f>C53</f>
        <v>11</v>
      </c>
      <c r="E53" s="60">
        <f>C53</f>
        <v>11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</row>
    <row r="54" spans="1:18" ht="12.75" customHeight="1">
      <c r="A54" s="58" t="s">
        <v>40</v>
      </c>
      <c r="B54" s="2" t="s">
        <v>96</v>
      </c>
      <c r="C54" s="70">
        <v>7.0000000000000007E-2</v>
      </c>
      <c r="D54" s="60">
        <f>D29*C54</f>
        <v>138.90492000000003</v>
      </c>
      <c r="E54" s="60">
        <f>E29*C54</f>
        <v>150.48033000000001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</row>
    <row r="55" spans="1:18" ht="12.75" customHeight="1">
      <c r="A55" s="58" t="s">
        <v>65</v>
      </c>
      <c r="B55" s="2" t="s">
        <v>68</v>
      </c>
      <c r="C55" s="59"/>
      <c r="D55" s="60">
        <v>0</v>
      </c>
      <c r="E55" s="60">
        <v>0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</row>
    <row r="56" spans="1:18" ht="12.75" customHeight="1">
      <c r="A56" s="1"/>
      <c r="B56" s="51" t="s">
        <v>69</v>
      </c>
      <c r="C56" s="1"/>
      <c r="D56" s="65">
        <f>SUM(D51:D55)</f>
        <v>887.06332000000009</v>
      </c>
      <c r="E56" s="65">
        <f>SUM(E51:E55)</f>
        <v>898.63873000000001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</row>
    <row r="57" spans="1:18" ht="12.75" customHeight="1">
      <c r="A57" s="59"/>
      <c r="B57" s="2" t="s">
        <v>97</v>
      </c>
      <c r="C57" s="59" t="s">
        <v>98</v>
      </c>
      <c r="D57" s="71"/>
      <c r="E57" s="59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</row>
    <row r="58" spans="1:18" ht="12.75" customHeight="1">
      <c r="A58" s="53">
        <v>2</v>
      </c>
      <c r="B58" s="51" t="s">
        <v>99</v>
      </c>
      <c r="C58" s="55" t="s">
        <v>58</v>
      </c>
      <c r="D58" s="56" t="s">
        <v>59</v>
      </c>
      <c r="E58" s="57" t="s">
        <v>59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</row>
    <row r="59" spans="1:18" ht="12.75" customHeight="1">
      <c r="A59" s="58" t="s">
        <v>72</v>
      </c>
      <c r="B59" s="2" t="s">
        <v>100</v>
      </c>
      <c r="C59" s="59"/>
      <c r="D59" s="60">
        <f>D35</f>
        <v>220.48400000000001</v>
      </c>
      <c r="E59" s="60">
        <f>E35</f>
        <v>238.85766666666666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</row>
    <row r="60" spans="1:18" ht="12.75" customHeight="1">
      <c r="A60" s="58" t="s">
        <v>78</v>
      </c>
      <c r="B60" s="2" t="s">
        <v>79</v>
      </c>
      <c r="C60" s="59"/>
      <c r="D60" s="60">
        <f>D48</f>
        <v>811.38112000000012</v>
      </c>
      <c r="E60" s="60">
        <f>E48</f>
        <v>878.99621333333334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</row>
    <row r="61" spans="1:18" ht="12.75" customHeight="1">
      <c r="A61" s="58" t="s">
        <v>91</v>
      </c>
      <c r="B61" s="2" t="s">
        <v>92</v>
      </c>
      <c r="C61" s="59"/>
      <c r="D61" s="60">
        <f>D56</f>
        <v>887.06332000000009</v>
      </c>
      <c r="E61" s="60">
        <f>E56</f>
        <v>898.63873000000001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</row>
    <row r="62" spans="1:18" ht="12.75" customHeight="1">
      <c r="A62" s="1"/>
      <c r="B62" s="51" t="s">
        <v>69</v>
      </c>
      <c r="C62" s="1"/>
      <c r="D62" s="65">
        <f>SUM(D59:D61)</f>
        <v>1918.9284400000001</v>
      </c>
      <c r="E62" s="65">
        <f>SUM(E59:E61)</f>
        <v>2016.4926100000002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</row>
    <row r="63" spans="1:18" ht="12.75" customHeight="1">
      <c r="A63" s="300" t="s">
        <v>101</v>
      </c>
      <c r="B63" s="300"/>
      <c r="C63" s="300"/>
      <c r="D63" s="300"/>
      <c r="E63" s="30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  <row r="64" spans="1:18" ht="12.75" customHeight="1">
      <c r="A64" s="53">
        <v>3</v>
      </c>
      <c r="B64" s="51" t="s">
        <v>102</v>
      </c>
      <c r="C64" s="55" t="s">
        <v>58</v>
      </c>
      <c r="D64" s="56" t="s">
        <v>59</v>
      </c>
      <c r="E64" s="57" t="s">
        <v>59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</row>
    <row r="65" spans="1:18" ht="12.75" customHeight="1">
      <c r="A65" s="58" t="s">
        <v>34</v>
      </c>
      <c r="B65" s="2" t="s">
        <v>103</v>
      </c>
      <c r="C65" s="72">
        <f>1/12*5%</f>
        <v>4.1666666666666666E-3</v>
      </c>
      <c r="D65" s="60">
        <f t="shared" ref="D65:D70" si="0">($D$29+$D$35)*C65</f>
        <v>9.1868333333333343</v>
      </c>
      <c r="E65" s="60">
        <f t="shared" ref="E65:E70" si="1">($E$29+$E$35)*C65</f>
        <v>9.9524027777777775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</row>
    <row r="66" spans="1:18">
      <c r="A66" s="58" t="s">
        <v>36</v>
      </c>
      <c r="B66" s="73" t="s">
        <v>104</v>
      </c>
      <c r="C66" s="72">
        <f>8%*C65</f>
        <v>3.3333333333333332E-4</v>
      </c>
      <c r="D66" s="60">
        <f t="shared" si="0"/>
        <v>0.73494666666666664</v>
      </c>
      <c r="E66" s="60">
        <f t="shared" si="1"/>
        <v>0.7961922222222223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</row>
    <row r="67" spans="1:18">
      <c r="A67" s="58" t="s">
        <v>62</v>
      </c>
      <c r="B67" s="73" t="s">
        <v>105</v>
      </c>
      <c r="C67" s="72">
        <f>40%*8%*5%</f>
        <v>1.6000000000000001E-3</v>
      </c>
      <c r="D67" s="60">
        <f t="shared" si="0"/>
        <v>3.5277440000000002</v>
      </c>
      <c r="E67" s="60">
        <f t="shared" si="1"/>
        <v>3.821722666666667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</row>
    <row r="68" spans="1:18">
      <c r="A68" s="58" t="s">
        <v>40</v>
      </c>
      <c r="B68" s="73" t="s">
        <v>106</v>
      </c>
      <c r="C68" s="72">
        <f>7/30/12*95%</f>
        <v>1.8472222222222223E-2</v>
      </c>
      <c r="D68" s="60">
        <f t="shared" si="0"/>
        <v>40.728294444444451</v>
      </c>
      <c r="E68" s="60">
        <f t="shared" si="1"/>
        <v>44.122318981481484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</row>
    <row r="69" spans="1:18" ht="21.6">
      <c r="A69" s="58" t="s">
        <v>65</v>
      </c>
      <c r="B69" s="73" t="s">
        <v>107</v>
      </c>
      <c r="C69" s="72">
        <f>C68*C48</f>
        <v>6.7977777777777793E-3</v>
      </c>
      <c r="D69" s="60">
        <f t="shared" si="0"/>
        <v>14.98801235555556</v>
      </c>
      <c r="E69" s="60">
        <f t="shared" si="1"/>
        <v>16.23701338518519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</row>
    <row r="70" spans="1:18" ht="21.6">
      <c r="A70" s="58" t="s">
        <v>67</v>
      </c>
      <c r="B70" s="73" t="s">
        <v>108</v>
      </c>
      <c r="C70" s="72">
        <f>40%*8%*95%</f>
        <v>3.04E-2</v>
      </c>
      <c r="D70" s="60">
        <f t="shared" si="0"/>
        <v>67.027135999999999</v>
      </c>
      <c r="E70" s="60">
        <f t="shared" si="1"/>
        <v>72.612730666666678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</row>
    <row r="71" spans="1:18" ht="12.75" customHeight="1">
      <c r="A71" s="1"/>
      <c r="B71" s="51" t="s">
        <v>69</v>
      </c>
      <c r="C71" s="68">
        <v>6.3100000000000003E-2</v>
      </c>
      <c r="D71" s="65">
        <f>SUM(D65:D70)</f>
        <v>136.19296680000002</v>
      </c>
      <c r="E71" s="65">
        <f>SUM(E65:E70)</f>
        <v>147.54238070000002</v>
      </c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</row>
    <row r="72" spans="1:18" ht="12.75" customHeight="1">
      <c r="A72" s="59"/>
      <c r="B72" s="2" t="s">
        <v>109</v>
      </c>
      <c r="C72" s="59"/>
      <c r="D72" s="71"/>
      <c r="E72" s="59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</row>
    <row r="73" spans="1:18" ht="12.75" customHeight="1">
      <c r="A73" s="59"/>
      <c r="B73" s="2" t="s">
        <v>110</v>
      </c>
      <c r="C73" s="59"/>
      <c r="D73" s="71"/>
      <c r="E73" s="59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</row>
    <row r="74" spans="1:18" ht="12.75" customHeight="1">
      <c r="A74" s="57" t="s">
        <v>111</v>
      </c>
      <c r="B74" s="51" t="s">
        <v>112</v>
      </c>
      <c r="C74" s="55"/>
      <c r="D74" s="56" t="s">
        <v>59</v>
      </c>
      <c r="E74" s="57" t="s">
        <v>59</v>
      </c>
      <c r="F74" s="74" t="s">
        <v>113</v>
      </c>
      <c r="G74" s="74" t="s">
        <v>114</v>
      </c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</row>
    <row r="75" spans="1:18" ht="12.75" customHeight="1">
      <c r="A75" s="58" t="s">
        <v>34</v>
      </c>
      <c r="B75" s="2" t="s">
        <v>115</v>
      </c>
      <c r="C75" s="72">
        <f>1/12+1/12/12+1/12/12+1/12/12/3</f>
        <v>9.9537037037037035E-2</v>
      </c>
      <c r="D75" s="75">
        <f>(D29*C75)+(D29*C75)*C48</f>
        <v>270.20314200000001</v>
      </c>
      <c r="E75" s="75">
        <f>(E29*C75)+(E29*C75)*C48</f>
        <v>292.72007050000002</v>
      </c>
      <c r="F75" s="76"/>
      <c r="G75" s="77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</row>
    <row r="76" spans="1:18" ht="12.75" customHeight="1">
      <c r="A76" s="58" t="s">
        <v>36</v>
      </c>
      <c r="B76" s="2" t="s">
        <v>116</v>
      </c>
      <c r="C76" s="72">
        <f>F76/30/12*G76</f>
        <v>1.3888888888888888E-2</v>
      </c>
      <c r="D76" s="75">
        <f>(D29*C76)+(D29*C76)*C48</f>
        <v>37.702764000000002</v>
      </c>
      <c r="E76" s="75">
        <f>(E29*C76)+(E29*C76)*C48</f>
        <v>40.844661000000002</v>
      </c>
      <c r="F76" s="78">
        <v>5</v>
      </c>
      <c r="G76" s="79">
        <v>1</v>
      </c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</row>
    <row r="77" spans="1:18" ht="12.75" customHeight="1">
      <c r="A77" s="58" t="s">
        <v>62</v>
      </c>
      <c r="B77" s="2" t="s">
        <v>117</v>
      </c>
      <c r="C77" s="72">
        <f>F77/30/12*G77</f>
        <v>1.1249999999999998E-4</v>
      </c>
      <c r="D77" s="75">
        <f>(D29*C77)+(D29*C77)*C48</f>
        <v>0.30539238839999999</v>
      </c>
      <c r="E77" s="75">
        <f>(E29*C77)+(E29*C77)*C48</f>
        <v>0.3308417541</v>
      </c>
      <c r="F77" s="78">
        <v>5</v>
      </c>
      <c r="G77" s="79">
        <v>8.0999999999999996E-3</v>
      </c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</row>
    <row r="78" spans="1:18" ht="12.75" customHeight="1">
      <c r="A78" s="58" t="s">
        <v>40</v>
      </c>
      <c r="B78" s="2" t="s">
        <v>118</v>
      </c>
      <c r="C78" s="72">
        <f>F78/30/12*G78</f>
        <v>5.0833333333333329E-4</v>
      </c>
      <c r="D78" s="75">
        <f>(D29*C78)+(D29*C78)*C48</f>
        <v>1.3799211624000001</v>
      </c>
      <c r="E78" s="75">
        <f>(E29*C78)+(E29*C78)*C48</f>
        <v>1.4949145925999998</v>
      </c>
      <c r="F78" s="78">
        <v>15</v>
      </c>
      <c r="G78" s="79">
        <v>1.2200000000000001E-2</v>
      </c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</row>
    <row r="79" spans="1:18" ht="12.75" customHeight="1">
      <c r="A79" s="58" t="s">
        <v>65</v>
      </c>
      <c r="B79" s="2" t="s">
        <v>119</v>
      </c>
      <c r="C79" s="72">
        <f>((F79/12)*((1+1/3)/12))*G79</f>
        <v>2.9999999999999997E-4</v>
      </c>
      <c r="D79" s="75">
        <f>(D29*C79)+(D29*C79)*C48</f>
        <v>0.81437970240000013</v>
      </c>
      <c r="E79" s="75">
        <f>(E29*C79)+(E29*C79)*C48</f>
        <v>0.88224467760000003</v>
      </c>
      <c r="F79" s="78">
        <v>4</v>
      </c>
      <c r="G79" s="79">
        <v>8.0999999999999996E-3</v>
      </c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</row>
    <row r="80" spans="1:18" ht="12.75" customHeight="1">
      <c r="A80" s="80" t="s">
        <v>67</v>
      </c>
      <c r="B80" s="2" t="s">
        <v>120</v>
      </c>
      <c r="C80" s="81">
        <v>0</v>
      </c>
      <c r="D80" s="60"/>
      <c r="E80" s="60"/>
      <c r="F80" s="78"/>
      <c r="G80" s="79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</row>
    <row r="81" spans="1:18" ht="12.75" customHeight="1">
      <c r="A81" s="297" t="s">
        <v>121</v>
      </c>
      <c r="B81" s="297"/>
      <c r="C81" s="82">
        <f>SUM(C75:C79)</f>
        <v>0.11434675925925926</v>
      </c>
      <c r="D81" s="83">
        <f>SUM(D75:D79)</f>
        <v>310.40559925320002</v>
      </c>
      <c r="E81" s="83">
        <f>SUM(E75:E79)</f>
        <v>336.27273252430001</v>
      </c>
      <c r="F81" s="76"/>
      <c r="G81" s="77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</row>
    <row r="82" spans="1:18" ht="12.75" customHeight="1">
      <c r="A82" s="58"/>
      <c r="B82" s="2" t="s">
        <v>122</v>
      </c>
      <c r="C82" s="81"/>
      <c r="D82" s="60"/>
      <c r="E82" s="60"/>
      <c r="F82" s="76"/>
      <c r="G82" s="77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</row>
    <row r="83" spans="1:18" ht="12.75" customHeight="1">
      <c r="A83" s="84" t="s">
        <v>123</v>
      </c>
      <c r="B83" s="298" t="s">
        <v>124</v>
      </c>
      <c r="C83" s="298"/>
      <c r="D83" s="86" t="s">
        <v>59</v>
      </c>
      <c r="E83" s="84" t="s">
        <v>59</v>
      </c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</row>
    <row r="84" spans="1:18" ht="12.75" customHeight="1">
      <c r="A84" s="87" t="s">
        <v>62</v>
      </c>
      <c r="B84" s="88" t="s">
        <v>125</v>
      </c>
      <c r="C84" s="72">
        <v>0</v>
      </c>
      <c r="D84" s="75">
        <f>D29*C84</f>
        <v>0</v>
      </c>
      <c r="E84" s="75">
        <f>E29*C84</f>
        <v>0</v>
      </c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</row>
    <row r="85" spans="1:18" ht="12.75" customHeight="1">
      <c r="A85" s="1"/>
      <c r="B85" s="51" t="s">
        <v>69</v>
      </c>
      <c r="C85" s="89">
        <f>SUM(C84)</f>
        <v>0</v>
      </c>
      <c r="D85" s="65">
        <f>SUM(D84)</f>
        <v>0</v>
      </c>
      <c r="E85" s="65">
        <f>SUM(E84)</f>
        <v>0</v>
      </c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</row>
    <row r="86" spans="1:18" ht="12.75" customHeight="1">
      <c r="A86" s="299" t="s">
        <v>126</v>
      </c>
      <c r="B86" s="299"/>
      <c r="C86" s="299"/>
      <c r="D86" s="299"/>
      <c r="E86" s="299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</row>
    <row r="87" spans="1:18" ht="12.75" customHeight="1">
      <c r="A87" s="90">
        <v>4</v>
      </c>
      <c r="B87" s="85" t="s">
        <v>127</v>
      </c>
      <c r="C87" s="91" t="s">
        <v>58</v>
      </c>
      <c r="D87" s="86" t="s">
        <v>59</v>
      </c>
      <c r="E87" s="84" t="s">
        <v>59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</row>
    <row r="88" spans="1:18" ht="12.75" customHeight="1">
      <c r="A88" s="87" t="s">
        <v>111</v>
      </c>
      <c r="B88" s="88" t="s">
        <v>128</v>
      </c>
      <c r="C88" s="92"/>
      <c r="D88" s="75">
        <f>D81</f>
        <v>310.40559925320002</v>
      </c>
      <c r="E88" s="75">
        <f>E81</f>
        <v>336.27273252430001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</row>
    <row r="89" spans="1:18" ht="12.75" customHeight="1">
      <c r="A89" s="87" t="s">
        <v>123</v>
      </c>
      <c r="B89" s="88" t="s">
        <v>124</v>
      </c>
      <c r="C89" s="92"/>
      <c r="D89" s="75">
        <f>D85</f>
        <v>0</v>
      </c>
      <c r="E89" s="75">
        <f>E85</f>
        <v>0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</row>
    <row r="90" spans="1:18" ht="12.75" customHeight="1">
      <c r="A90" s="93"/>
      <c r="B90" s="85" t="s">
        <v>69</v>
      </c>
      <c r="C90" s="94"/>
      <c r="D90" s="95">
        <f>SUM(D88:D89)</f>
        <v>310.40559925320002</v>
      </c>
      <c r="E90" s="95">
        <f>SUM(E88:E89)</f>
        <v>336.27273252430001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</row>
    <row r="91" spans="1:18" ht="12.75" customHeight="1">
      <c r="A91" s="28"/>
      <c r="B91" s="31" t="s">
        <v>129</v>
      </c>
      <c r="C91" s="28"/>
      <c r="D91" s="33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</row>
    <row r="92" spans="1:18" ht="12.75" customHeight="1">
      <c r="A92" s="96">
        <v>5</v>
      </c>
      <c r="B92" s="97" t="s">
        <v>130</v>
      </c>
      <c r="C92" s="98" t="s">
        <v>58</v>
      </c>
      <c r="D92" s="99" t="s">
        <v>59</v>
      </c>
      <c r="E92" s="100" t="s">
        <v>59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</row>
    <row r="93" spans="1:18" ht="12.75" customHeight="1">
      <c r="A93" s="32" t="s">
        <v>34</v>
      </c>
      <c r="B93" s="31" t="s">
        <v>131</v>
      </c>
      <c r="C93" s="101"/>
      <c r="D93" s="102">
        <f>UNI.EPI!G14</f>
        <v>70.00333333333333</v>
      </c>
      <c r="E93" s="102">
        <f>UNI.EPI!G14</f>
        <v>70.00333333333333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</row>
    <row r="94" spans="1:18" ht="12.75" customHeight="1">
      <c r="A94" s="32" t="s">
        <v>36</v>
      </c>
      <c r="B94" s="31" t="s">
        <v>132</v>
      </c>
      <c r="C94" s="101"/>
      <c r="D94" s="102">
        <f>MAT!G41</f>
        <v>911.85395833333325</v>
      </c>
      <c r="E94" s="102">
        <f>D94</f>
        <v>911.85395833333325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</row>
    <row r="95" spans="1:18" ht="12.75" customHeight="1">
      <c r="A95" s="32" t="s">
        <v>62</v>
      </c>
      <c r="B95" s="31" t="s">
        <v>133</v>
      </c>
      <c r="C95" s="101"/>
      <c r="D95" s="102">
        <f>EQU!H23</f>
        <v>79.64</v>
      </c>
      <c r="E95" s="102">
        <f>D95</f>
        <v>79.64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</row>
    <row r="96" spans="1:18" ht="12.75" customHeight="1">
      <c r="A96" s="32" t="s">
        <v>40</v>
      </c>
      <c r="B96" s="31" t="s">
        <v>134</v>
      </c>
      <c r="C96" s="101"/>
      <c r="D96" s="102">
        <f>UTE!G25</f>
        <v>178.70645833333333</v>
      </c>
      <c r="E96" s="102">
        <f>D96</f>
        <v>178.70645833333333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</row>
    <row r="97" spans="1:18" ht="12.75" customHeight="1">
      <c r="A97" s="32" t="s">
        <v>65</v>
      </c>
      <c r="B97" s="31" t="s">
        <v>135</v>
      </c>
      <c r="C97" s="101"/>
      <c r="D97" s="102">
        <f>UNI.EPI!G31</f>
        <v>118.43166666666667</v>
      </c>
      <c r="E97" s="102">
        <f>D97</f>
        <v>118.43166666666667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</row>
    <row r="98" spans="1:18" ht="12.75" customHeight="1">
      <c r="A98" s="103"/>
      <c r="B98" s="97" t="s">
        <v>136</v>
      </c>
      <c r="C98" s="103"/>
      <c r="D98" s="104">
        <f>SUM(D93:D97)</f>
        <v>1358.6354166666665</v>
      </c>
      <c r="E98" s="104">
        <f>SUM(E93:E97)</f>
        <v>1358.6354166666665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</row>
    <row r="99" spans="1:18" ht="12.75" customHeight="1">
      <c r="A99" s="28"/>
      <c r="B99" s="31" t="s">
        <v>137</v>
      </c>
      <c r="C99" s="28"/>
      <c r="D99" s="33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</row>
    <row r="100" spans="1:18" ht="12.75" customHeight="1">
      <c r="A100" s="96">
        <v>6</v>
      </c>
      <c r="B100" s="97" t="s">
        <v>138</v>
      </c>
      <c r="C100" s="98" t="s">
        <v>58</v>
      </c>
      <c r="D100" s="99" t="s">
        <v>59</v>
      </c>
      <c r="E100" s="100" t="s">
        <v>59</v>
      </c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</row>
    <row r="101" spans="1:18" ht="12.75" customHeight="1">
      <c r="A101" s="32" t="s">
        <v>34</v>
      </c>
      <c r="B101" s="31" t="s">
        <v>139</v>
      </c>
      <c r="C101" s="105">
        <v>0.05</v>
      </c>
      <c r="D101" s="102">
        <f>D116*C101</f>
        <v>285.42592113599341</v>
      </c>
      <c r="E101" s="102">
        <f>E116*C101</f>
        <v>300.43310699454833</v>
      </c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</row>
    <row r="102" spans="1:18" ht="12.75" customHeight="1">
      <c r="A102" s="32" t="s">
        <v>36</v>
      </c>
      <c r="B102" s="31" t="s">
        <v>140</v>
      </c>
      <c r="C102" s="105">
        <v>0.05</v>
      </c>
      <c r="D102" s="102">
        <f>(D116+D101)*C102</f>
        <v>299.69721719279306</v>
      </c>
      <c r="E102" s="102">
        <f>(E116+E101)*C102</f>
        <v>315.45476234427576</v>
      </c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</row>
    <row r="103" spans="1:18" ht="12.75" customHeight="1">
      <c r="A103" s="32" t="s">
        <v>62</v>
      </c>
      <c r="B103" s="31" t="s">
        <v>141</v>
      </c>
      <c r="C103" s="101">
        <f>SUM(C104:C106)</f>
        <v>6.6500000000000004E-2</v>
      </c>
      <c r="D103" s="102">
        <f>SUM(D104:D106)</f>
        <v>448.34166999999991</v>
      </c>
      <c r="E103" s="102">
        <f>SUM(E104:E106)</f>
        <v>471.91458999999998</v>
      </c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</row>
    <row r="104" spans="1:18" ht="12.75" customHeight="1">
      <c r="A104" s="32" t="s">
        <v>142</v>
      </c>
      <c r="B104" s="31" t="s">
        <v>143</v>
      </c>
      <c r="C104" s="101">
        <v>3.6499999999999998E-2</v>
      </c>
      <c r="D104" s="102">
        <f>D118*C104</f>
        <v>246.08226999999997</v>
      </c>
      <c r="E104" s="102">
        <f>E118*C104</f>
        <v>259.02078999999998</v>
      </c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</row>
    <row r="105" spans="1:18" ht="12.75" customHeight="1">
      <c r="A105" s="32" t="s">
        <v>144</v>
      </c>
      <c r="B105" s="31" t="s">
        <v>145</v>
      </c>
      <c r="C105" s="101">
        <v>0</v>
      </c>
      <c r="D105" s="102">
        <f>D118*C105</f>
        <v>0</v>
      </c>
      <c r="E105" s="102">
        <f>E118*C105</f>
        <v>0</v>
      </c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</row>
    <row r="106" spans="1:18" ht="12.75" customHeight="1">
      <c r="A106" s="32" t="s">
        <v>146</v>
      </c>
      <c r="B106" s="31" t="s">
        <v>147</v>
      </c>
      <c r="C106" s="101">
        <v>0.03</v>
      </c>
      <c r="D106" s="102">
        <f>D118*C106</f>
        <v>202.25939999999997</v>
      </c>
      <c r="E106" s="102">
        <f>E118*C106</f>
        <v>212.8938</v>
      </c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</row>
    <row r="107" spans="1:18" ht="12.75" customHeight="1">
      <c r="A107" s="103"/>
      <c r="B107" s="97" t="s">
        <v>69</v>
      </c>
      <c r="C107" s="103"/>
      <c r="D107" s="104">
        <f>SUM(D101:D103)</f>
        <v>1033.4648083287864</v>
      </c>
      <c r="E107" s="104">
        <f>SUM(E101:E103)</f>
        <v>1087.8024593388241</v>
      </c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</row>
    <row r="108" spans="1:18" ht="12.75" customHeight="1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</row>
    <row r="109" spans="1:18" ht="12.75" customHeight="1">
      <c r="A109" s="97" t="s">
        <v>148</v>
      </c>
      <c r="B109" s="97"/>
      <c r="C109" s="98"/>
      <c r="D109" s="97"/>
      <c r="E109" s="103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</row>
    <row r="110" spans="1:18" ht="12.75" customHeight="1">
      <c r="A110" s="103"/>
      <c r="B110" s="97" t="s">
        <v>149</v>
      </c>
      <c r="C110" s="98"/>
      <c r="D110" s="99" t="s">
        <v>59</v>
      </c>
      <c r="E110" s="100" t="s">
        <v>59</v>
      </c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</row>
    <row r="111" spans="1:18" ht="12.75" customHeight="1">
      <c r="A111" s="32" t="s">
        <v>34</v>
      </c>
      <c r="B111" s="31" t="s">
        <v>56</v>
      </c>
      <c r="C111" s="28"/>
      <c r="D111" s="102">
        <f>D29</f>
        <v>1984.3560000000002</v>
      </c>
      <c r="E111" s="106">
        <f>E29</f>
        <v>2149.7190000000001</v>
      </c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</row>
    <row r="112" spans="1:18" ht="12.75" customHeight="1">
      <c r="A112" s="32" t="s">
        <v>36</v>
      </c>
      <c r="B112" s="31" t="s">
        <v>70</v>
      </c>
      <c r="C112" s="28"/>
      <c r="D112" s="102">
        <f>D62</f>
        <v>1918.9284400000001</v>
      </c>
      <c r="E112" s="106">
        <f>E62</f>
        <v>2016.4926100000002</v>
      </c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</row>
    <row r="113" spans="1:18" ht="12.75" customHeight="1">
      <c r="A113" s="32" t="s">
        <v>62</v>
      </c>
      <c r="B113" s="31" t="s">
        <v>101</v>
      </c>
      <c r="C113" s="28"/>
      <c r="D113" s="102">
        <f>D71</f>
        <v>136.19296680000002</v>
      </c>
      <c r="E113" s="106">
        <f>E71</f>
        <v>147.54238070000002</v>
      </c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</row>
    <row r="114" spans="1:18" ht="12.75" customHeight="1">
      <c r="A114" s="32" t="s">
        <v>40</v>
      </c>
      <c r="B114" s="31" t="s">
        <v>109</v>
      </c>
      <c r="C114" s="28"/>
      <c r="D114" s="102">
        <f>D90</f>
        <v>310.40559925320002</v>
      </c>
      <c r="E114" s="106">
        <f>E90</f>
        <v>336.27273252430001</v>
      </c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</row>
    <row r="115" spans="1:18" ht="12.75" customHeight="1">
      <c r="A115" s="32" t="s">
        <v>65</v>
      </c>
      <c r="B115" s="31" t="s">
        <v>129</v>
      </c>
      <c r="C115" s="28"/>
      <c r="D115" s="102">
        <f>D98</f>
        <v>1358.6354166666665</v>
      </c>
      <c r="E115" s="106">
        <f>E98</f>
        <v>1358.6354166666665</v>
      </c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</row>
    <row r="116" spans="1:18" ht="12.75" customHeight="1">
      <c r="A116" s="97" t="s">
        <v>150</v>
      </c>
      <c r="B116" s="97"/>
      <c r="C116" s="98"/>
      <c r="D116" s="104">
        <f>SUM(D111:D115)</f>
        <v>5708.5184227198679</v>
      </c>
      <c r="E116" s="104">
        <f>SUM(E111:E115)</f>
        <v>6008.6621398909665</v>
      </c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</row>
    <row r="117" spans="1:18" ht="12.75" customHeight="1">
      <c r="A117" s="32" t="s">
        <v>67</v>
      </c>
      <c r="B117" s="31" t="s">
        <v>137</v>
      </c>
      <c r="C117" s="28"/>
      <c r="D117" s="102">
        <f>D107</f>
        <v>1033.4648083287864</v>
      </c>
      <c r="E117" s="102">
        <f>E107</f>
        <v>1087.8024593388241</v>
      </c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</row>
    <row r="118" spans="1:18" ht="12.75" customHeight="1">
      <c r="A118" s="97" t="s">
        <v>151</v>
      </c>
      <c r="B118" s="97"/>
      <c r="C118" s="98"/>
      <c r="D118" s="104">
        <f>ROUND((D116+D101+D102)/(1-(C103)),2)</f>
        <v>6741.98</v>
      </c>
      <c r="E118" s="104">
        <f>ROUND((E116+E101+E102)/(1-(C103)),2)</f>
        <v>7096.46</v>
      </c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</row>
    <row r="119" spans="1:18" ht="12.75" customHeight="1">
      <c r="A119" s="107"/>
      <c r="B119" s="107"/>
      <c r="C119" s="27"/>
      <c r="D119" s="26"/>
      <c r="E119" s="10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</row>
    <row r="120" spans="1:18" ht="12.75" customHeight="1">
      <c r="A120" s="97" t="s">
        <v>152</v>
      </c>
      <c r="B120" s="97"/>
      <c r="C120" s="98"/>
      <c r="D120" s="97"/>
      <c r="E120" s="109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</row>
    <row r="121" spans="1:18" ht="12.75" customHeight="1">
      <c r="A121" s="110">
        <v>1</v>
      </c>
      <c r="B121" s="111" t="s">
        <v>50</v>
      </c>
      <c r="C121" s="103"/>
      <c r="D121" s="112" t="str">
        <f>D$10</f>
        <v>Servente de Limpeza</v>
      </c>
      <c r="E121" s="112" t="str">
        <f>E$10</f>
        <v>Servente de Limpeza (periculosidade)</v>
      </c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</row>
    <row r="122" spans="1:18" ht="12.75" customHeight="1">
      <c r="A122" s="113"/>
      <c r="B122" s="37" t="s">
        <v>153</v>
      </c>
      <c r="C122" s="28"/>
      <c r="D122" s="113">
        <v>1</v>
      </c>
      <c r="E122" s="113">
        <v>1</v>
      </c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</row>
    <row r="123" spans="1:18" ht="12.75" customHeight="1">
      <c r="A123" s="113"/>
      <c r="B123" s="37" t="s">
        <v>154</v>
      </c>
      <c r="C123" s="28"/>
      <c r="D123" s="114">
        <f>M²!I72</f>
        <v>4</v>
      </c>
      <c r="E123" s="113">
        <v>0</v>
      </c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</row>
    <row r="124" spans="1:18" ht="12.75" customHeight="1">
      <c r="A124" s="113"/>
      <c r="B124" s="37" t="s">
        <v>155</v>
      </c>
      <c r="C124" s="28"/>
      <c r="D124" s="115">
        <f>D118</f>
        <v>6741.98</v>
      </c>
      <c r="E124" s="115">
        <f>E118</f>
        <v>7096.46</v>
      </c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</row>
    <row r="125" spans="1:18" ht="12.75" customHeight="1">
      <c r="A125" s="113"/>
      <c r="B125" s="37" t="s">
        <v>156</v>
      </c>
      <c r="C125" s="28"/>
      <c r="D125" s="115">
        <f>M²!H70</f>
        <v>26427.767260039567</v>
      </c>
      <c r="E125" s="115">
        <f>ROUND(E124*E123,2)</f>
        <v>0</v>
      </c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</row>
    <row r="126" spans="1:18" ht="12.75" customHeight="1">
      <c r="A126" s="116"/>
      <c r="B126" s="116" t="s">
        <v>157</v>
      </c>
      <c r="C126" s="117"/>
      <c r="D126" s="118">
        <f>D125*12</f>
        <v>317133.20712047478</v>
      </c>
      <c r="E126" s="119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</row>
    <row r="127" spans="1:18" ht="12.75" customHeight="1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</row>
  </sheetData>
  <mergeCells count="13">
    <mergeCell ref="B16:C16"/>
    <mergeCell ref="B17:C17"/>
    <mergeCell ref="B18:C18"/>
    <mergeCell ref="B19:C19"/>
    <mergeCell ref="A30:E30"/>
    <mergeCell ref="A81:B81"/>
    <mergeCell ref="B83:C83"/>
    <mergeCell ref="A86:E86"/>
    <mergeCell ref="A31:E31"/>
    <mergeCell ref="A36:E36"/>
    <mergeCell ref="A37:C37"/>
    <mergeCell ref="A49:E49"/>
    <mergeCell ref="A63:E63"/>
  </mergeCells>
  <printOptions horizontalCentered="1"/>
  <pageMargins left="0.25" right="0.25" top="0.75" bottom="0.75" header="0.3" footer="0.3"/>
  <pageSetup paperSize="9" fitToHeight="0" orientation="portrait" horizontalDpi="300" verticalDpi="300"/>
  <headerFooter>
    <oddHeader>&amp;R &amp;F &amp;A</oddHeader>
    <oddFooter>&amp;C&amp;P/&amp;RGestão Formal de Contratos (visto)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BACC6"/>
    <pageSetUpPr fitToPage="1"/>
  </sheetPr>
  <dimension ref="A3:Z73"/>
  <sheetViews>
    <sheetView topLeftCell="A55" zoomScaleNormal="100" workbookViewId="0">
      <selection activeCell="E56" sqref="E56"/>
    </sheetView>
  </sheetViews>
  <sheetFormatPr defaultColWidth="14.44140625" defaultRowHeight="14.4"/>
  <cols>
    <col min="1" max="1" width="4.109375" customWidth="1"/>
    <col min="2" max="2" width="10.77734375" customWidth="1"/>
    <col min="3" max="3" width="39.109375" customWidth="1"/>
    <col min="4" max="4" width="10.33203125" customWidth="1"/>
    <col min="5" max="5" width="10.6640625" customWidth="1"/>
    <col min="6" max="6" width="13.88671875" customWidth="1"/>
    <col min="7" max="7" width="14.33203125" customWidth="1"/>
    <col min="9" max="9" width="14.33203125" customWidth="1"/>
    <col min="10" max="10" width="8.88671875" customWidth="1"/>
    <col min="11" max="11" width="16" hidden="1" customWidth="1"/>
    <col min="12" max="26" width="8.88671875" customWidth="1"/>
  </cols>
  <sheetData>
    <row r="3" spans="1:26" ht="13.5" customHeight="1">
      <c r="A3" s="120"/>
      <c r="B3" s="121" t="s">
        <v>158</v>
      </c>
      <c r="C3" s="122"/>
      <c r="D3" s="123"/>
      <c r="E3" s="123"/>
      <c r="F3" s="124"/>
      <c r="G3" s="123"/>
      <c r="H3" s="123"/>
      <c r="I3" s="125"/>
      <c r="J3" s="123"/>
      <c r="K3" s="123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</row>
    <row r="4" spans="1:26" ht="13.5" customHeight="1">
      <c r="A4" s="120"/>
      <c r="B4" s="123"/>
      <c r="C4" s="123"/>
      <c r="D4" s="123"/>
      <c r="E4" s="123"/>
      <c r="F4" s="123"/>
      <c r="G4" s="123"/>
      <c r="H4" s="123"/>
      <c r="I4" s="125"/>
      <c r="J4" s="123"/>
      <c r="K4" s="123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</row>
    <row r="5" spans="1:26" ht="13.5" customHeight="1">
      <c r="A5" s="120"/>
      <c r="B5" s="126" t="s">
        <v>159</v>
      </c>
      <c r="C5" s="126" t="s">
        <v>160</v>
      </c>
      <c r="D5" s="307" t="s">
        <v>161</v>
      </c>
      <c r="E5" s="307"/>
      <c r="F5" s="128"/>
      <c r="G5" s="128"/>
      <c r="H5" s="129" t="s">
        <v>162</v>
      </c>
      <c r="I5" s="127" t="s">
        <v>163</v>
      </c>
      <c r="J5" s="123"/>
      <c r="K5" s="123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</row>
    <row r="6" spans="1:26" ht="13.5" customHeight="1">
      <c r="A6" s="120"/>
      <c r="B6" s="130" t="s">
        <v>164</v>
      </c>
      <c r="C6" s="131" t="s">
        <v>165</v>
      </c>
      <c r="D6" s="132">
        <v>1200</v>
      </c>
      <c r="E6" s="133">
        <f>1/D6</f>
        <v>8.3333333333333339E-4</v>
      </c>
      <c r="F6" s="134"/>
      <c r="G6" s="134"/>
      <c r="H6" s="135">
        <f>'Custos por posto'!D118</f>
        <v>6741.98</v>
      </c>
      <c r="I6" s="135">
        <f>H6*E6</f>
        <v>5.6183166666666668</v>
      </c>
      <c r="J6" s="123"/>
      <c r="K6" s="123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</row>
    <row r="7" spans="1:26" ht="13.5" customHeight="1">
      <c r="A7" s="120"/>
      <c r="B7" s="136"/>
      <c r="C7" s="137"/>
      <c r="D7" s="138"/>
      <c r="E7" s="139"/>
      <c r="F7" s="140"/>
      <c r="G7" s="137"/>
      <c r="H7" s="141"/>
      <c r="I7" s="142">
        <f>SUM(I6)</f>
        <v>5.6183166666666668</v>
      </c>
      <c r="J7" s="123"/>
      <c r="K7" s="123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</row>
    <row r="8" spans="1:26" ht="13.5" customHeight="1">
      <c r="A8" s="120"/>
      <c r="B8" s="143" t="s">
        <v>164</v>
      </c>
      <c r="C8" s="131" t="s">
        <v>166</v>
      </c>
      <c r="D8" s="132">
        <v>1200</v>
      </c>
      <c r="E8" s="144">
        <f>1/D8</f>
        <v>8.3333333333333339E-4</v>
      </c>
      <c r="F8" s="134"/>
      <c r="G8" s="134"/>
      <c r="H8" s="145">
        <f>H6</f>
        <v>6741.98</v>
      </c>
      <c r="I8" s="145">
        <f>H8*E8</f>
        <v>5.6183166666666668</v>
      </c>
      <c r="J8" s="123"/>
      <c r="K8" s="123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</row>
    <row r="9" spans="1:26" ht="13.5" customHeight="1">
      <c r="A9" s="120"/>
      <c r="B9" s="136"/>
      <c r="C9" s="137"/>
      <c r="D9" s="138"/>
      <c r="E9" s="139"/>
      <c r="F9" s="137"/>
      <c r="G9" s="137"/>
      <c r="H9" s="141"/>
      <c r="I9" s="142">
        <f>SUM(I8)</f>
        <v>5.6183166666666668</v>
      </c>
      <c r="J9" s="123"/>
      <c r="K9" s="123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</row>
    <row r="10" spans="1:26" ht="13.5" customHeight="1">
      <c r="A10" s="120"/>
      <c r="B10" s="143" t="s">
        <v>164</v>
      </c>
      <c r="C10" s="130" t="s">
        <v>167</v>
      </c>
      <c r="D10" s="132">
        <v>450</v>
      </c>
      <c r="E10" s="144">
        <f>1/D10</f>
        <v>2.2222222222222222E-3</v>
      </c>
      <c r="F10" s="134"/>
      <c r="G10" s="134"/>
      <c r="H10" s="145">
        <f>H6</f>
        <v>6741.98</v>
      </c>
      <c r="I10" s="145">
        <f>H10*E10</f>
        <v>14.982177777777776</v>
      </c>
      <c r="J10" s="123"/>
      <c r="K10" s="123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</row>
    <row r="11" spans="1:26" ht="13.5" customHeight="1">
      <c r="A11" s="120"/>
      <c r="B11" s="136"/>
      <c r="C11" s="137"/>
      <c r="D11" s="138"/>
      <c r="E11" s="139"/>
      <c r="F11" s="137"/>
      <c r="G11" s="137"/>
      <c r="H11" s="141"/>
      <c r="I11" s="142">
        <f>SUM(I10)</f>
        <v>14.982177777777776</v>
      </c>
      <c r="J11" s="123"/>
      <c r="K11" s="123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</row>
    <row r="12" spans="1:26" ht="13.5" customHeight="1">
      <c r="A12" s="120"/>
      <c r="B12" s="143" t="s">
        <v>164</v>
      </c>
      <c r="C12" s="130" t="s">
        <v>168</v>
      </c>
      <c r="D12" s="132">
        <v>2500</v>
      </c>
      <c r="E12" s="144">
        <f>1/D12</f>
        <v>4.0000000000000002E-4</v>
      </c>
      <c r="F12" s="134"/>
      <c r="G12" s="134"/>
      <c r="H12" s="145">
        <f>H6</f>
        <v>6741.98</v>
      </c>
      <c r="I12" s="145">
        <f>H12*E12</f>
        <v>2.6967919999999999</v>
      </c>
      <c r="J12" s="123"/>
      <c r="K12" s="123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</row>
    <row r="13" spans="1:26" ht="13.5" customHeight="1">
      <c r="A13" s="120"/>
      <c r="B13" s="136"/>
      <c r="C13" s="137"/>
      <c r="D13" s="138"/>
      <c r="E13" s="139"/>
      <c r="F13" s="137"/>
      <c r="G13" s="137"/>
      <c r="H13" s="141"/>
      <c r="I13" s="142">
        <f>SUM(I12)</f>
        <v>2.6967919999999999</v>
      </c>
      <c r="J13" s="123"/>
      <c r="K13" s="123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</row>
    <row r="14" spans="1:26" ht="13.5" customHeight="1">
      <c r="A14" s="120"/>
      <c r="B14" s="143" t="s">
        <v>164</v>
      </c>
      <c r="C14" s="130" t="s">
        <v>169</v>
      </c>
      <c r="D14" s="132">
        <v>700</v>
      </c>
      <c r="E14" s="144">
        <f>1/D14</f>
        <v>1.4285714285714286E-3</v>
      </c>
      <c r="F14" s="134"/>
      <c r="G14" s="134"/>
      <c r="H14" s="145">
        <f>H6</f>
        <v>6741.98</v>
      </c>
      <c r="I14" s="145">
        <f>H14*E14</f>
        <v>9.6313999999999993</v>
      </c>
      <c r="J14" s="123"/>
      <c r="K14" s="123" t="s">
        <v>170</v>
      </c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</row>
    <row r="15" spans="1:26" ht="13.5" customHeight="1">
      <c r="A15" s="120"/>
      <c r="B15" s="136"/>
      <c r="C15" s="137"/>
      <c r="D15" s="138"/>
      <c r="E15" s="139"/>
      <c r="F15" s="137"/>
      <c r="G15" s="137"/>
      <c r="H15" s="141"/>
      <c r="I15" s="142">
        <f>SUM(I14)</f>
        <v>9.6313999999999993</v>
      </c>
      <c r="J15" s="123"/>
      <c r="K15" s="123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</row>
    <row r="16" spans="1:26" ht="13.5" customHeight="1">
      <c r="A16" s="120"/>
      <c r="B16" s="143" t="s">
        <v>164</v>
      </c>
      <c r="C16" s="130" t="s">
        <v>171</v>
      </c>
      <c r="D16" s="132">
        <v>1500</v>
      </c>
      <c r="E16" s="144">
        <f>1/D16</f>
        <v>6.6666666666666664E-4</v>
      </c>
      <c r="F16" s="134"/>
      <c r="G16" s="134"/>
      <c r="H16" s="145">
        <f>H6</f>
        <v>6741.98</v>
      </c>
      <c r="I16" s="145">
        <f>H16*E16</f>
        <v>4.4946533333333329</v>
      </c>
      <c r="J16" s="123"/>
      <c r="K16" s="123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</row>
    <row r="17" spans="1:26" ht="13.5" customHeight="1">
      <c r="A17" s="120"/>
      <c r="B17" s="136"/>
      <c r="C17" s="137"/>
      <c r="D17" s="138"/>
      <c r="E17" s="139"/>
      <c r="F17" s="137"/>
      <c r="G17" s="137"/>
      <c r="H17" s="141"/>
      <c r="I17" s="142">
        <f>SUM(I16)</f>
        <v>4.4946533333333329</v>
      </c>
      <c r="J17" s="123"/>
      <c r="K17" s="123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</row>
    <row r="18" spans="1:26" ht="13.5" customHeight="1">
      <c r="A18" s="120"/>
      <c r="B18" s="143" t="s">
        <v>164</v>
      </c>
      <c r="C18" s="130" t="s">
        <v>172</v>
      </c>
      <c r="D18" s="132">
        <v>300</v>
      </c>
      <c r="E18" s="144">
        <f>1/D18</f>
        <v>3.3333333333333335E-3</v>
      </c>
      <c r="F18" s="134"/>
      <c r="G18" s="134"/>
      <c r="H18" s="145">
        <f>H6</f>
        <v>6741.98</v>
      </c>
      <c r="I18" s="145">
        <f>H18*E18</f>
        <v>22.473266666666667</v>
      </c>
      <c r="J18" s="123"/>
      <c r="K18" s="123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</row>
    <row r="19" spans="1:26" ht="13.5" customHeight="1">
      <c r="A19" s="120"/>
      <c r="B19" s="136"/>
      <c r="C19" s="137"/>
      <c r="D19" s="138"/>
      <c r="E19" s="139"/>
      <c r="F19" s="137"/>
      <c r="G19" s="137"/>
      <c r="H19" s="141"/>
      <c r="I19" s="142">
        <f>SUM(I18)</f>
        <v>22.473266666666667</v>
      </c>
      <c r="J19" s="123"/>
      <c r="K19" s="123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</row>
    <row r="20" spans="1:26" ht="13.5" customHeight="1">
      <c r="A20" s="120"/>
      <c r="B20" s="143" t="s">
        <v>164</v>
      </c>
      <c r="C20" s="130" t="s">
        <v>173</v>
      </c>
      <c r="D20" s="132">
        <v>2700</v>
      </c>
      <c r="E20" s="144">
        <f>1/D20</f>
        <v>3.7037037037037035E-4</v>
      </c>
      <c r="F20" s="134"/>
      <c r="G20" s="134"/>
      <c r="H20" s="145">
        <f>H6</f>
        <v>6741.98</v>
      </c>
      <c r="I20" s="145">
        <f>H20*E20</f>
        <v>2.4970296296296293</v>
      </c>
      <c r="J20" s="123"/>
      <c r="K20" s="123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</row>
    <row r="21" spans="1:26" ht="13.5" customHeight="1">
      <c r="A21" s="120"/>
      <c r="B21" s="136"/>
      <c r="C21" s="137"/>
      <c r="D21" s="138"/>
      <c r="E21" s="139"/>
      <c r="F21" s="137"/>
      <c r="G21" s="137"/>
      <c r="H21" s="141"/>
      <c r="I21" s="142">
        <f>SUM(I20)</f>
        <v>2.4970296296296293</v>
      </c>
      <c r="J21" s="123"/>
      <c r="K21" s="123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</row>
    <row r="22" spans="1:26" ht="13.5" customHeight="1">
      <c r="A22" s="120"/>
      <c r="B22" s="143" t="s">
        <v>164</v>
      </c>
      <c r="C22" s="130" t="s">
        <v>174</v>
      </c>
      <c r="D22" s="132">
        <v>9000</v>
      </c>
      <c r="E22" s="144">
        <f>1/D22</f>
        <v>1.1111111111111112E-4</v>
      </c>
      <c r="F22" s="134"/>
      <c r="G22" s="134"/>
      <c r="H22" s="145">
        <f>H6</f>
        <v>6741.98</v>
      </c>
      <c r="I22" s="145">
        <f>H22*E22</f>
        <v>0.74910888888888882</v>
      </c>
      <c r="J22" s="123"/>
      <c r="K22" s="123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</row>
    <row r="23" spans="1:26" ht="13.5" customHeight="1">
      <c r="A23" s="120"/>
      <c r="B23" s="136"/>
      <c r="C23" s="137"/>
      <c r="D23" s="138"/>
      <c r="E23" s="139"/>
      <c r="F23" s="137"/>
      <c r="G23" s="137"/>
      <c r="H23" s="141"/>
      <c r="I23" s="142">
        <f>SUM(I22)</f>
        <v>0.74910888888888882</v>
      </c>
      <c r="J23" s="123"/>
      <c r="K23" s="123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</row>
    <row r="24" spans="1:26" ht="13.5" customHeight="1">
      <c r="A24" s="120"/>
      <c r="B24" s="143" t="s">
        <v>164</v>
      </c>
      <c r="C24" s="131" t="s">
        <v>175</v>
      </c>
      <c r="D24" s="132">
        <v>2700</v>
      </c>
      <c r="E24" s="144">
        <f>1/D24</f>
        <v>3.7037037037037035E-4</v>
      </c>
      <c r="F24" s="134"/>
      <c r="G24" s="134"/>
      <c r="H24" s="145">
        <f>H6</f>
        <v>6741.98</v>
      </c>
      <c r="I24" s="145">
        <f>H24*E24</f>
        <v>2.4970296296296293</v>
      </c>
      <c r="J24" s="123"/>
      <c r="K24" s="123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</row>
    <row r="25" spans="1:26" ht="13.5" customHeight="1">
      <c r="A25" s="146"/>
      <c r="B25" s="136"/>
      <c r="C25" s="137"/>
      <c r="D25" s="138"/>
      <c r="E25" s="139"/>
      <c r="F25" s="137"/>
      <c r="G25" s="137"/>
      <c r="H25" s="141"/>
      <c r="I25" s="142">
        <f>SUM(I24)</f>
        <v>2.4970296296296293</v>
      </c>
      <c r="J25" s="123"/>
      <c r="K25" s="123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</row>
    <row r="26" spans="1:26" ht="13.5" customHeight="1">
      <c r="A26" s="146"/>
      <c r="B26" s="143" t="s">
        <v>164</v>
      </c>
      <c r="C26" s="131" t="s">
        <v>176</v>
      </c>
      <c r="D26" s="132">
        <v>2700</v>
      </c>
      <c r="E26" s="144">
        <f>1/D26</f>
        <v>3.7037037037037035E-4</v>
      </c>
      <c r="F26" s="134"/>
      <c r="G26" s="134"/>
      <c r="H26" s="145">
        <f>H6</f>
        <v>6741.98</v>
      </c>
      <c r="I26" s="145">
        <f>H26*E26</f>
        <v>2.4970296296296293</v>
      </c>
      <c r="J26" s="123"/>
      <c r="K26" s="123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</row>
    <row r="27" spans="1:26" ht="13.5" customHeight="1">
      <c r="A27" s="120"/>
      <c r="B27" s="136"/>
      <c r="C27" s="137"/>
      <c r="D27" s="138"/>
      <c r="E27" s="139"/>
      <c r="F27" s="137"/>
      <c r="G27" s="137"/>
      <c r="H27" s="141"/>
      <c r="I27" s="142">
        <f>SUM(I26)</f>
        <v>2.4970296296296293</v>
      </c>
      <c r="J27" s="123"/>
      <c r="K27" s="123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</row>
    <row r="28" spans="1:26" ht="13.5" customHeight="1">
      <c r="A28" s="120"/>
      <c r="B28" s="143" t="s">
        <v>164</v>
      </c>
      <c r="C28" s="130" t="s">
        <v>177</v>
      </c>
      <c r="D28" s="132">
        <v>2700</v>
      </c>
      <c r="E28" s="144">
        <f>1/D28</f>
        <v>3.7037037037037035E-4</v>
      </c>
      <c r="F28" s="134"/>
      <c r="G28" s="134"/>
      <c r="H28" s="145">
        <f>H6</f>
        <v>6741.98</v>
      </c>
      <c r="I28" s="145">
        <f>H28*E28</f>
        <v>2.4970296296296293</v>
      </c>
      <c r="J28" s="123"/>
      <c r="K28" s="123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</row>
    <row r="29" spans="1:26" ht="13.5" customHeight="1">
      <c r="A29" s="120"/>
      <c r="B29" s="136"/>
      <c r="C29" s="137"/>
      <c r="D29" s="138"/>
      <c r="E29" s="139"/>
      <c r="F29" s="137"/>
      <c r="G29" s="137"/>
      <c r="H29" s="141"/>
      <c r="I29" s="142">
        <f>SUM(I28)</f>
        <v>2.4970296296296293</v>
      </c>
      <c r="J29" s="123"/>
      <c r="K29" s="123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</row>
    <row r="30" spans="1:26" ht="13.5" customHeight="1">
      <c r="A30" s="120"/>
      <c r="B30" s="143" t="s">
        <v>164</v>
      </c>
      <c r="C30" s="130" t="s">
        <v>178</v>
      </c>
      <c r="D30" s="132">
        <v>100000</v>
      </c>
      <c r="E30" s="144">
        <f>1/D30</f>
        <v>1.0000000000000001E-5</v>
      </c>
      <c r="F30" s="134"/>
      <c r="G30" s="134"/>
      <c r="H30" s="145">
        <f>H6</f>
        <v>6741.98</v>
      </c>
      <c r="I30" s="145">
        <f>H30*E30</f>
        <v>6.7419800000000002E-2</v>
      </c>
      <c r="J30" s="123"/>
      <c r="K30" s="123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</row>
    <row r="31" spans="1:26" ht="13.5" customHeight="1">
      <c r="A31" s="146"/>
      <c r="B31" s="136"/>
      <c r="C31" s="137"/>
      <c r="D31" s="138"/>
      <c r="E31" s="139"/>
      <c r="F31" s="137"/>
      <c r="G31" s="137"/>
      <c r="H31" s="141"/>
      <c r="I31" s="142">
        <f>SUM(I30)</f>
        <v>6.7419800000000002E-2</v>
      </c>
      <c r="J31" s="123"/>
      <c r="K31" s="123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</row>
    <row r="32" spans="1:26" ht="13.5" customHeight="1">
      <c r="A32" s="146"/>
      <c r="B32" s="143" t="s">
        <v>164</v>
      </c>
      <c r="C32" s="130" t="s">
        <v>179</v>
      </c>
      <c r="D32" s="132">
        <v>450</v>
      </c>
      <c r="E32" s="144">
        <f>1/D32</f>
        <v>2.2222222222222222E-3</v>
      </c>
      <c r="F32" s="134"/>
      <c r="G32" s="134"/>
      <c r="H32" s="145">
        <f>H6</f>
        <v>6741.98</v>
      </c>
      <c r="I32" s="145">
        <f>H32*E32</f>
        <v>14.982177777777776</v>
      </c>
      <c r="J32" s="123"/>
      <c r="K32" s="123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</row>
    <row r="33" spans="1:26" ht="13.5" customHeight="1">
      <c r="A33" s="120"/>
      <c r="B33" s="136"/>
      <c r="C33" s="137"/>
      <c r="D33" s="147"/>
      <c r="E33" s="139"/>
      <c r="F33" s="137"/>
      <c r="G33" s="137"/>
      <c r="H33" s="141"/>
      <c r="I33" s="142">
        <f>SUM(I32)</f>
        <v>14.982177777777776</v>
      </c>
      <c r="J33" s="123"/>
      <c r="K33" s="123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</row>
    <row r="34" spans="1:26" ht="13.5" customHeight="1">
      <c r="A34" s="120"/>
      <c r="B34" s="123"/>
      <c r="C34" s="123"/>
      <c r="D34" s="148"/>
      <c r="E34" s="149"/>
      <c r="F34" s="150"/>
      <c r="G34" s="150"/>
      <c r="H34" s="125"/>
      <c r="I34" s="125"/>
      <c r="J34" s="123"/>
      <c r="K34" s="123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</row>
    <row r="35" spans="1:26" ht="13.5" customHeight="1">
      <c r="A35" s="120"/>
      <c r="B35" s="151" t="s">
        <v>159</v>
      </c>
      <c r="C35" s="151" t="s">
        <v>160</v>
      </c>
      <c r="D35" s="308" t="s">
        <v>161</v>
      </c>
      <c r="E35" s="308"/>
      <c r="F35" s="152" t="s">
        <v>180</v>
      </c>
      <c r="G35" s="152" t="s">
        <v>181</v>
      </c>
      <c r="H35" s="153" t="s">
        <v>162</v>
      </c>
      <c r="I35" s="154" t="s">
        <v>163</v>
      </c>
      <c r="J35" s="123"/>
      <c r="K35" s="123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</row>
    <row r="36" spans="1:26" ht="13.5" customHeight="1">
      <c r="A36" s="120"/>
      <c r="B36" s="143" t="s">
        <v>164</v>
      </c>
      <c r="C36" s="130" t="s">
        <v>182</v>
      </c>
      <c r="D36" s="132">
        <v>160</v>
      </c>
      <c r="E36" s="144">
        <f>1/D36</f>
        <v>6.2500000000000003E-3</v>
      </c>
      <c r="F36" s="155">
        <v>16</v>
      </c>
      <c r="G36" s="156">
        <f>1/188.76</f>
        <v>5.2977325704598437E-3</v>
      </c>
      <c r="H36" s="145">
        <f>'Custos por posto'!E118</f>
        <v>7096.46</v>
      </c>
      <c r="I36" s="145">
        <f>(E36*F36*G36)*H36</f>
        <v>3.7595147276965464</v>
      </c>
      <c r="J36" s="123"/>
      <c r="K36" s="123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</row>
    <row r="37" spans="1:26" ht="13.5" customHeight="1">
      <c r="A37" s="120"/>
      <c r="B37" s="136"/>
      <c r="C37" s="137"/>
      <c r="D37" s="138"/>
      <c r="E37" s="139"/>
      <c r="F37" s="157"/>
      <c r="G37" s="158"/>
      <c r="H37" s="141"/>
      <c r="I37" s="142">
        <f>SUM(I36)</f>
        <v>3.7595147276965464</v>
      </c>
      <c r="J37" s="123"/>
      <c r="K37" s="123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</row>
    <row r="38" spans="1:26" ht="13.5" customHeight="1">
      <c r="A38" s="120"/>
      <c r="B38" s="143" t="s">
        <v>164</v>
      </c>
      <c r="C38" s="130" t="s">
        <v>183</v>
      </c>
      <c r="D38" s="132">
        <v>380</v>
      </c>
      <c r="E38" s="144">
        <f>1/D38</f>
        <v>2.631578947368421E-3</v>
      </c>
      <c r="F38" s="159">
        <v>16</v>
      </c>
      <c r="G38" s="156">
        <f>1/188.76</f>
        <v>5.2977325704598437E-3</v>
      </c>
      <c r="H38" s="145">
        <f>H6</f>
        <v>6741.98</v>
      </c>
      <c r="I38" s="145">
        <f>(E38*F38*G38)*H38</f>
        <v>1.5038824014900569</v>
      </c>
      <c r="J38" s="123"/>
      <c r="K38" s="123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</row>
    <row r="39" spans="1:26" ht="13.5" customHeight="1">
      <c r="A39" s="120"/>
      <c r="B39" s="136"/>
      <c r="C39" s="137"/>
      <c r="D39" s="138"/>
      <c r="E39" s="139"/>
      <c r="F39" s="157"/>
      <c r="G39" s="158"/>
      <c r="H39" s="141"/>
      <c r="I39" s="142">
        <f>SUM(I38)</f>
        <v>1.5038824014900569</v>
      </c>
      <c r="J39" s="123"/>
      <c r="K39" s="123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</row>
    <row r="40" spans="1:26" ht="13.5" customHeight="1">
      <c r="A40" s="120"/>
      <c r="B40" s="143" t="s">
        <v>164</v>
      </c>
      <c r="C40" s="130" t="s">
        <v>184</v>
      </c>
      <c r="D40" s="132">
        <v>380</v>
      </c>
      <c r="E40" s="144">
        <f>1/D40</f>
        <v>2.631578947368421E-3</v>
      </c>
      <c r="F40" s="159">
        <v>16</v>
      </c>
      <c r="G40" s="156">
        <f>1/188.76</f>
        <v>5.2977325704598437E-3</v>
      </c>
      <c r="H40" s="145">
        <f>H6</f>
        <v>6741.98</v>
      </c>
      <c r="I40" s="145">
        <f>(E40*F40*G40)*H40</f>
        <v>1.5038824014900569</v>
      </c>
      <c r="J40" s="123"/>
      <c r="K40" s="123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</row>
    <row r="41" spans="1:26" ht="13.5" customHeight="1">
      <c r="A41" s="120"/>
      <c r="B41" s="136"/>
      <c r="C41" s="137"/>
      <c r="D41" s="138"/>
      <c r="E41" s="139"/>
      <c r="F41" s="157"/>
      <c r="G41" s="158"/>
      <c r="H41" s="141"/>
      <c r="I41" s="142">
        <f>SUM(I40)</f>
        <v>1.5038824014900569</v>
      </c>
      <c r="J41" s="123"/>
      <c r="K41" s="123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</row>
    <row r="42" spans="1:26" ht="13.5" customHeight="1">
      <c r="A42" s="120"/>
      <c r="B42" s="143" t="s">
        <v>164</v>
      </c>
      <c r="C42" s="130" t="s">
        <v>185</v>
      </c>
      <c r="D42" s="132">
        <v>160</v>
      </c>
      <c r="E42" s="160">
        <f>1/(30*D42)</f>
        <v>2.0833333333333335E-4</v>
      </c>
      <c r="F42" s="159">
        <v>8</v>
      </c>
      <c r="G42" s="156">
        <f>1/1132.6</f>
        <v>8.8292424509977055E-4</v>
      </c>
      <c r="H42" s="145">
        <f>H6</f>
        <v>6741.98</v>
      </c>
      <c r="I42" s="145">
        <f>(E42*F42*G42)*H42</f>
        <v>9.9210960032962512E-3</v>
      </c>
      <c r="J42" s="123"/>
      <c r="K42" s="123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</row>
    <row r="43" spans="1:26" ht="13.5" customHeight="1">
      <c r="A43" s="120"/>
      <c r="B43" s="136"/>
      <c r="C43" s="137"/>
      <c r="D43" s="147"/>
      <c r="E43" s="139"/>
      <c r="F43" s="157"/>
      <c r="G43" s="158"/>
      <c r="H43" s="141"/>
      <c r="I43" s="142">
        <f>SUM(I42)</f>
        <v>9.9210960032962512E-3</v>
      </c>
      <c r="J43" s="123"/>
      <c r="K43" s="123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</row>
    <row r="44" spans="1:26" ht="13.5" customHeight="1">
      <c r="A44" s="120"/>
      <c r="B44" s="123"/>
      <c r="C44" s="123"/>
      <c r="D44" s="123"/>
      <c r="E44" s="161"/>
      <c r="F44" s="123"/>
      <c r="G44" s="123"/>
      <c r="H44" s="125"/>
      <c r="I44" s="125"/>
      <c r="J44" s="123"/>
      <c r="K44" s="123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</row>
    <row r="45" spans="1:26" ht="13.5" customHeight="1">
      <c r="A45" s="120"/>
      <c r="B45" s="123"/>
      <c r="C45" s="123"/>
      <c r="D45" s="123"/>
      <c r="E45" s="150"/>
      <c r="F45" s="123"/>
      <c r="G45" s="123"/>
      <c r="H45" s="125"/>
      <c r="I45" s="125"/>
      <c r="J45" s="123"/>
      <c r="K45" s="123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</row>
    <row r="46" spans="1:26" ht="13.5" customHeight="1">
      <c r="A46" s="146"/>
      <c r="B46" s="309" t="s">
        <v>186</v>
      </c>
      <c r="C46" s="309"/>
      <c r="D46" s="309"/>
      <c r="E46" s="309"/>
      <c r="F46" s="309"/>
      <c r="G46" s="309"/>
      <c r="H46" s="309"/>
      <c r="I46" s="162"/>
      <c r="J46" s="123"/>
      <c r="K46" s="123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6"/>
      <c r="Z46" s="146"/>
    </row>
    <row r="47" spans="1:26" ht="13.5" customHeight="1">
      <c r="A47" s="146"/>
      <c r="B47" s="310" t="s">
        <v>187</v>
      </c>
      <c r="C47" s="310"/>
      <c r="D47" s="129" t="s">
        <v>188</v>
      </c>
      <c r="E47" s="163" t="s">
        <v>160</v>
      </c>
      <c r="F47" s="129" t="s">
        <v>189</v>
      </c>
      <c r="G47" s="129" t="s">
        <v>190</v>
      </c>
      <c r="H47" s="164" t="s">
        <v>163</v>
      </c>
      <c r="I47" s="165" t="s">
        <v>191</v>
      </c>
      <c r="J47" s="123"/>
      <c r="K47" s="122" t="s">
        <v>192</v>
      </c>
      <c r="L47" s="146"/>
      <c r="M47" s="146"/>
      <c r="N47" s="146"/>
      <c r="O47" s="146"/>
      <c r="P47" s="146"/>
      <c r="Q47" s="146"/>
      <c r="R47" s="146"/>
      <c r="S47" s="146"/>
      <c r="T47" s="146"/>
      <c r="U47" s="146"/>
      <c r="V47" s="146"/>
      <c r="W47" s="146"/>
      <c r="X47" s="146"/>
      <c r="Y47" s="146"/>
      <c r="Z47" s="146"/>
    </row>
    <row r="48" spans="1:26" ht="13.5" customHeight="1">
      <c r="A48" s="120"/>
      <c r="B48" s="304" t="s">
        <v>165</v>
      </c>
      <c r="C48" s="304"/>
      <c r="D48" s="145">
        <f>I7</f>
        <v>5.6183166666666668</v>
      </c>
      <c r="E48" s="166">
        <f>Locais!N4</f>
        <v>0</v>
      </c>
      <c r="F48" s="155">
        <v>1</v>
      </c>
      <c r="G48" s="166">
        <f>Locais!N4</f>
        <v>0</v>
      </c>
      <c r="H48" s="145">
        <f t="shared" ref="H48:H61" si="0">(D48*G48)</f>
        <v>0</v>
      </c>
      <c r="I48" s="167">
        <f t="shared" ref="I48:I61" si="1">G48/K48</f>
        <v>0</v>
      </c>
      <c r="J48" s="123"/>
      <c r="K48" s="168">
        <f>D6</f>
        <v>1200</v>
      </c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</row>
    <row r="49" spans="1:26" ht="13.5" customHeight="1">
      <c r="A49" s="120"/>
      <c r="B49" s="304" t="s">
        <v>166</v>
      </c>
      <c r="C49" s="304"/>
      <c r="D49" s="145">
        <f>I9</f>
        <v>5.6183166666666668</v>
      </c>
      <c r="E49" s="166">
        <f>Locais!N5</f>
        <v>1987.3560000000002</v>
      </c>
      <c r="F49" s="155">
        <v>1</v>
      </c>
      <c r="G49" s="166">
        <f>Locais!N5</f>
        <v>1987.3560000000002</v>
      </c>
      <c r="H49" s="145">
        <f t="shared" si="0"/>
        <v>11165.595337400002</v>
      </c>
      <c r="I49" s="167">
        <f t="shared" si="1"/>
        <v>1.6561300000000001</v>
      </c>
      <c r="J49" s="123"/>
      <c r="K49" s="168">
        <f>D8</f>
        <v>1200</v>
      </c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</row>
    <row r="50" spans="1:26" ht="13.5" customHeight="1">
      <c r="A50" s="120"/>
      <c r="B50" s="304" t="s">
        <v>167</v>
      </c>
      <c r="C50" s="304"/>
      <c r="D50" s="145">
        <f>I11</f>
        <v>14.982177777777776</v>
      </c>
      <c r="E50" s="166">
        <f>Locais!N6</f>
        <v>161.38199999999998</v>
      </c>
      <c r="F50" s="155">
        <v>1</v>
      </c>
      <c r="G50" s="166">
        <f>Locais!N6</f>
        <v>161.38199999999998</v>
      </c>
      <c r="H50" s="145">
        <f t="shared" si="0"/>
        <v>2417.8538141333329</v>
      </c>
      <c r="I50" s="167">
        <f t="shared" si="1"/>
        <v>0.35862666666666659</v>
      </c>
      <c r="J50" s="123"/>
      <c r="K50" s="168">
        <f>D10</f>
        <v>450</v>
      </c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</row>
    <row r="51" spans="1:26" ht="13.5" customHeight="1">
      <c r="A51" s="120"/>
      <c r="B51" s="304" t="s">
        <v>193</v>
      </c>
      <c r="C51" s="304"/>
      <c r="D51" s="145">
        <f>I13</f>
        <v>2.6967919999999999</v>
      </c>
      <c r="E51" s="166">
        <f>Locais!N7</f>
        <v>7.7316666666666665</v>
      </c>
      <c r="F51" s="155">
        <v>1</v>
      </c>
      <c r="G51" s="166">
        <f>Locais!N7</f>
        <v>7.7316666666666665</v>
      </c>
      <c r="H51" s="145">
        <f t="shared" si="0"/>
        <v>20.850696813333332</v>
      </c>
      <c r="I51" s="167">
        <f t="shared" si="1"/>
        <v>3.0926666666666667E-3</v>
      </c>
      <c r="J51" s="123"/>
      <c r="K51" s="168">
        <f>D12</f>
        <v>2500</v>
      </c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</row>
    <row r="52" spans="1:26" ht="13.5" customHeight="1">
      <c r="A52" s="120"/>
      <c r="B52" s="304" t="s">
        <v>169</v>
      </c>
      <c r="C52" s="304"/>
      <c r="D52" s="145">
        <f>I15</f>
        <v>9.6313999999999993</v>
      </c>
      <c r="E52" s="166">
        <f>Locais!N8</f>
        <v>0</v>
      </c>
      <c r="F52" s="155">
        <v>1</v>
      </c>
      <c r="G52" s="166">
        <f>Locais!N8</f>
        <v>0</v>
      </c>
      <c r="H52" s="145">
        <f t="shared" si="0"/>
        <v>0</v>
      </c>
      <c r="I52" s="167">
        <f t="shared" si="1"/>
        <v>0</v>
      </c>
      <c r="J52" s="123"/>
      <c r="K52" s="168">
        <f>D14</f>
        <v>700</v>
      </c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</row>
    <row r="53" spans="1:26">
      <c r="A53" s="120"/>
      <c r="B53" s="304" t="s">
        <v>171</v>
      </c>
      <c r="C53" s="304"/>
      <c r="D53" s="145">
        <f>I17</f>
        <v>4.4946533333333329</v>
      </c>
      <c r="E53" s="166">
        <f>Locais!N9</f>
        <v>1212.2839999999999</v>
      </c>
      <c r="F53" s="155">
        <v>1</v>
      </c>
      <c r="G53" s="166">
        <f>Locais!N9</f>
        <v>1212.2839999999999</v>
      </c>
      <c r="H53" s="145">
        <f t="shared" si="0"/>
        <v>5448.7963215466652</v>
      </c>
      <c r="I53" s="167">
        <f t="shared" si="1"/>
        <v>0.8081893333333332</v>
      </c>
      <c r="J53" s="123"/>
      <c r="K53" s="168">
        <f>D16</f>
        <v>1500</v>
      </c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</row>
    <row r="54" spans="1:26" ht="13.5" customHeight="1">
      <c r="A54" s="146"/>
      <c r="B54" s="304" t="s">
        <v>172</v>
      </c>
      <c r="C54" s="304"/>
      <c r="D54" s="145">
        <f>I19</f>
        <v>22.473266666666667</v>
      </c>
      <c r="E54" s="166">
        <f>Locais!N10</f>
        <v>318.24</v>
      </c>
      <c r="F54" s="155">
        <v>1</v>
      </c>
      <c r="G54" s="166">
        <f>Locais!N10</f>
        <v>318.24</v>
      </c>
      <c r="H54" s="145">
        <f t="shared" si="0"/>
        <v>7151.8923840000007</v>
      </c>
      <c r="I54" s="167">
        <f t="shared" si="1"/>
        <v>1.0608</v>
      </c>
      <c r="J54" s="123"/>
      <c r="K54" s="168">
        <f>D18</f>
        <v>300</v>
      </c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6"/>
      <c r="Z54" s="146"/>
    </row>
    <row r="55" spans="1:26" ht="13.5" customHeight="1">
      <c r="A55" s="146"/>
      <c r="B55" s="304" t="s">
        <v>194</v>
      </c>
      <c r="C55" s="304"/>
      <c r="D55" s="169">
        <f>I21</f>
        <v>2.4970296296296293</v>
      </c>
      <c r="E55" s="166">
        <f>Locais!N11</f>
        <v>0</v>
      </c>
      <c r="F55" s="155">
        <v>1</v>
      </c>
      <c r="G55" s="166">
        <f>Locais!N11</f>
        <v>0</v>
      </c>
      <c r="H55" s="145">
        <f t="shared" si="0"/>
        <v>0</v>
      </c>
      <c r="I55" s="167">
        <f t="shared" si="1"/>
        <v>0</v>
      </c>
      <c r="J55" s="123"/>
      <c r="K55" s="168">
        <f>D20</f>
        <v>2700</v>
      </c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</row>
    <row r="56" spans="1:26" ht="13.5" customHeight="1">
      <c r="A56" s="120"/>
      <c r="B56" s="304" t="s">
        <v>195</v>
      </c>
      <c r="C56" s="304"/>
      <c r="D56" s="169">
        <f>I23</f>
        <v>0.74910888888888882</v>
      </c>
      <c r="E56" s="166">
        <f>Locais!N12</f>
        <v>158.77500000000001</v>
      </c>
      <c r="F56" s="155">
        <v>1</v>
      </c>
      <c r="G56" s="166">
        <f>Locais!N12</f>
        <v>158.77500000000001</v>
      </c>
      <c r="H56" s="145">
        <f t="shared" si="0"/>
        <v>118.93976383333333</v>
      </c>
      <c r="I56" s="167">
        <f t="shared" si="1"/>
        <v>1.7641666666666667E-2</v>
      </c>
      <c r="J56" s="123"/>
      <c r="K56" s="168">
        <f>D22</f>
        <v>9000</v>
      </c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</row>
    <row r="57" spans="1:26" ht="13.5" customHeight="1">
      <c r="A57" s="146"/>
      <c r="B57" s="304" t="s">
        <v>196</v>
      </c>
      <c r="C57" s="304"/>
      <c r="D57" s="169">
        <f>I25</f>
        <v>2.4970296296296293</v>
      </c>
      <c r="E57" s="166">
        <f>Locais!N13</f>
        <v>0</v>
      </c>
      <c r="F57" s="155">
        <v>1</v>
      </c>
      <c r="G57" s="166">
        <f>Locais!N13</f>
        <v>0</v>
      </c>
      <c r="H57" s="145">
        <f t="shared" si="0"/>
        <v>0</v>
      </c>
      <c r="I57" s="167">
        <f t="shared" si="1"/>
        <v>0</v>
      </c>
      <c r="J57" s="123"/>
      <c r="K57" s="168">
        <f>D24</f>
        <v>2700</v>
      </c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</row>
    <row r="58" spans="1:26" ht="13.5" customHeight="1">
      <c r="A58" s="146"/>
      <c r="B58" s="304" t="s">
        <v>197</v>
      </c>
      <c r="C58" s="304"/>
      <c r="D58" s="169">
        <f>I27</f>
        <v>2.4970296296296293</v>
      </c>
      <c r="E58" s="166">
        <f>Locais!N14</f>
        <v>0</v>
      </c>
      <c r="F58" s="155">
        <v>1</v>
      </c>
      <c r="G58" s="166">
        <f>Locais!N14</f>
        <v>0</v>
      </c>
      <c r="H58" s="145">
        <f t="shared" si="0"/>
        <v>0</v>
      </c>
      <c r="I58" s="167">
        <f t="shared" si="1"/>
        <v>0</v>
      </c>
      <c r="J58" s="123"/>
      <c r="K58" s="168">
        <f>D26</f>
        <v>2700</v>
      </c>
      <c r="L58" s="146"/>
      <c r="M58" s="146"/>
      <c r="N58" s="146"/>
      <c r="O58" s="146"/>
      <c r="P58" s="146"/>
      <c r="Q58" s="146"/>
      <c r="R58" s="146"/>
      <c r="S58" s="146"/>
      <c r="T58" s="146"/>
      <c r="U58" s="146"/>
      <c r="V58" s="146"/>
      <c r="W58" s="146"/>
      <c r="X58" s="146"/>
      <c r="Y58" s="146"/>
      <c r="Z58" s="146"/>
    </row>
    <row r="59" spans="1:26" ht="13.5" customHeight="1">
      <c r="A59" s="120"/>
      <c r="B59" s="304" t="s">
        <v>198</v>
      </c>
      <c r="C59" s="304"/>
      <c r="D59" s="169">
        <f>I29</f>
        <v>2.4970296296296293</v>
      </c>
      <c r="E59" s="166">
        <f>Locais!N15</f>
        <v>0</v>
      </c>
      <c r="F59" s="155">
        <v>1</v>
      </c>
      <c r="G59" s="166">
        <f>Locais!N15</f>
        <v>0</v>
      </c>
      <c r="H59" s="145">
        <f t="shared" si="0"/>
        <v>0</v>
      </c>
      <c r="I59" s="167">
        <f t="shared" si="1"/>
        <v>0</v>
      </c>
      <c r="J59" s="123"/>
      <c r="K59" s="168">
        <f>D28</f>
        <v>2700</v>
      </c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</row>
    <row r="60" spans="1:26" ht="13.5" customHeight="1">
      <c r="A60" s="120"/>
      <c r="B60" s="304" t="s">
        <v>199</v>
      </c>
      <c r="C60" s="304"/>
      <c r="D60" s="169">
        <f>I31</f>
        <v>6.7419800000000002E-2</v>
      </c>
      <c r="E60" s="166">
        <f>Locais!N16</f>
        <v>0</v>
      </c>
      <c r="F60" s="155">
        <v>1</v>
      </c>
      <c r="G60" s="166">
        <f>Locais!N16</f>
        <v>0</v>
      </c>
      <c r="H60" s="145">
        <f t="shared" si="0"/>
        <v>0</v>
      </c>
      <c r="I60" s="167">
        <f t="shared" si="1"/>
        <v>0</v>
      </c>
      <c r="J60" s="123"/>
      <c r="K60" s="168">
        <f>D30</f>
        <v>100000</v>
      </c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</row>
    <row r="61" spans="1:26" ht="13.5" customHeight="1">
      <c r="A61" s="120"/>
      <c r="B61" s="304" t="s">
        <v>200</v>
      </c>
      <c r="C61" s="304"/>
      <c r="D61" s="145">
        <f>I33</f>
        <v>14.982177777777776</v>
      </c>
      <c r="E61" s="166">
        <f>Locais!N21</f>
        <v>0</v>
      </c>
      <c r="F61" s="155">
        <v>1</v>
      </c>
      <c r="G61" s="166">
        <f>Locais!N21</f>
        <v>0</v>
      </c>
      <c r="H61" s="145">
        <f t="shared" si="0"/>
        <v>0</v>
      </c>
      <c r="I61" s="167">
        <f t="shared" si="1"/>
        <v>0</v>
      </c>
      <c r="J61" s="123"/>
      <c r="K61" s="168">
        <f>D32</f>
        <v>450</v>
      </c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</row>
    <row r="62" spans="1:26" ht="13.5" customHeight="1">
      <c r="A62" s="120"/>
      <c r="B62" s="170"/>
      <c r="C62" s="170"/>
      <c r="D62" s="171"/>
      <c r="E62" s="172"/>
      <c r="F62" s="171"/>
      <c r="G62" s="172"/>
      <c r="H62" s="173">
        <f>SUM(H48:H61)</f>
        <v>26323.92831772667</v>
      </c>
      <c r="I62" s="174">
        <f>SUM(I48:I61)</f>
        <v>3.9044803333333329</v>
      </c>
      <c r="J62" s="123"/>
      <c r="K62" s="123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</row>
    <row r="63" spans="1:26" ht="13.5" customHeight="1">
      <c r="A63" s="120"/>
      <c r="B63" s="123"/>
      <c r="C63" s="123"/>
      <c r="D63" s="150"/>
      <c r="E63" s="175"/>
      <c r="F63" s="150"/>
      <c r="G63" s="175"/>
      <c r="H63" s="176"/>
      <c r="I63" s="177"/>
      <c r="J63" s="123"/>
      <c r="K63" s="123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</row>
    <row r="64" spans="1:26" ht="21.6">
      <c r="A64" s="120"/>
      <c r="B64" s="305" t="s">
        <v>187</v>
      </c>
      <c r="C64" s="305"/>
      <c r="D64" s="152" t="s">
        <v>188</v>
      </c>
      <c r="E64" s="178" t="s">
        <v>160</v>
      </c>
      <c r="F64" s="179" t="s">
        <v>201</v>
      </c>
      <c r="G64" s="180" t="s">
        <v>190</v>
      </c>
      <c r="H64" s="181" t="s">
        <v>163</v>
      </c>
      <c r="I64" s="165" t="s">
        <v>191</v>
      </c>
      <c r="J64" s="123"/>
      <c r="K64" s="123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</row>
    <row r="65" spans="1:26" ht="13.5" customHeight="1">
      <c r="A65" s="120"/>
      <c r="B65" s="182" t="s">
        <v>202</v>
      </c>
      <c r="C65" s="183"/>
      <c r="D65" s="145">
        <f>I37</f>
        <v>3.7595147276965464</v>
      </c>
      <c r="E65" s="166">
        <f>Locais!N17</f>
        <v>12.458333333333334</v>
      </c>
      <c r="F65" s="155">
        <v>1</v>
      </c>
      <c r="G65" s="166">
        <f>Locais!N17</f>
        <v>12.458333333333334</v>
      </c>
      <c r="H65" s="145">
        <f>(G65*D65)</f>
        <v>46.837287649219476</v>
      </c>
      <c r="I65" s="167">
        <f>G65/K65</f>
        <v>7.7864583333333334E-2</v>
      </c>
      <c r="J65" s="123"/>
      <c r="K65" s="168">
        <f>D36</f>
        <v>160</v>
      </c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</row>
    <row r="66" spans="1:26" ht="13.5" customHeight="1">
      <c r="A66" s="120"/>
      <c r="B66" s="182" t="s">
        <v>203</v>
      </c>
      <c r="C66" s="183"/>
      <c r="D66" s="145">
        <f>I39</f>
        <v>1.5038824014900569</v>
      </c>
      <c r="E66" s="166">
        <f>Locais!N18</f>
        <v>15.214000000000002</v>
      </c>
      <c r="F66" s="155">
        <v>1</v>
      </c>
      <c r="G66" s="166">
        <f>Locais!N18</f>
        <v>15.214000000000002</v>
      </c>
      <c r="H66" s="145">
        <f>(G66*D66)</f>
        <v>22.880066856269728</v>
      </c>
      <c r="I66" s="167">
        <f>G66/K66</f>
        <v>4.0036842105263162E-2</v>
      </c>
      <c r="J66" s="123"/>
      <c r="K66" s="168">
        <f>D38</f>
        <v>380</v>
      </c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</row>
    <row r="67" spans="1:26" ht="13.5" customHeight="1">
      <c r="A67" s="120"/>
      <c r="B67" s="182" t="s">
        <v>184</v>
      </c>
      <c r="C67" s="183"/>
      <c r="D67" s="145">
        <f>I41</f>
        <v>1.5038824014900569</v>
      </c>
      <c r="E67" s="166">
        <f>Locais!N19</f>
        <v>22.689</v>
      </c>
      <c r="F67" s="155">
        <v>1</v>
      </c>
      <c r="G67" s="166">
        <f>Locais!N19</f>
        <v>22.689</v>
      </c>
      <c r="H67" s="145">
        <f>(G67*D67)</f>
        <v>34.121587807407899</v>
      </c>
      <c r="I67" s="167">
        <f>G67/K67</f>
        <v>5.9707894736842106E-2</v>
      </c>
      <c r="J67" s="123"/>
      <c r="K67" s="168">
        <f>D40</f>
        <v>380</v>
      </c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</row>
    <row r="68" spans="1:26" ht="13.5" customHeight="1">
      <c r="A68" s="120"/>
      <c r="B68" s="182" t="s">
        <v>204</v>
      </c>
      <c r="C68" s="183"/>
      <c r="D68" s="145">
        <f>I43</f>
        <v>9.9210960032962512E-3</v>
      </c>
      <c r="E68" s="166">
        <f>Locais!N20</f>
        <v>0</v>
      </c>
      <c r="F68" s="155">
        <v>1</v>
      </c>
      <c r="G68" s="166">
        <f>Locais!N20</f>
        <v>0</v>
      </c>
      <c r="H68" s="145">
        <f>(G68*D68)</f>
        <v>0</v>
      </c>
      <c r="I68" s="167">
        <f>G68/K68</f>
        <v>0</v>
      </c>
      <c r="J68" s="123"/>
      <c r="K68" s="168">
        <f>D42</f>
        <v>160</v>
      </c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</row>
    <row r="69" spans="1:26" ht="13.5" customHeight="1">
      <c r="A69" s="120"/>
      <c r="B69" s="171"/>
      <c r="C69" s="171"/>
      <c r="D69" s="171"/>
      <c r="E69" s="171"/>
      <c r="F69" s="171"/>
      <c r="G69" s="171"/>
      <c r="H69" s="173">
        <f>SUM(H65:H68)</f>
        <v>103.8389423128971</v>
      </c>
      <c r="I69" s="174">
        <f>SUM(I65:I68)</f>
        <v>0.1776093201754386</v>
      </c>
      <c r="J69" s="123"/>
      <c r="K69" s="123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</row>
    <row r="70" spans="1:26">
      <c r="A70" s="120"/>
      <c r="B70" s="184" t="s">
        <v>205</v>
      </c>
      <c r="C70" s="185"/>
      <c r="D70" s="185"/>
      <c r="E70" s="185"/>
      <c r="F70" s="185"/>
      <c r="G70" s="186"/>
      <c r="H70" s="187">
        <f>H62+H69</f>
        <v>26427.767260039567</v>
      </c>
      <c r="I70" s="188">
        <f>I62+I69</f>
        <v>4.0820896535087714</v>
      </c>
      <c r="K70" s="123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</row>
    <row r="71" spans="1:26" ht="13.5" customHeight="1">
      <c r="A71" s="120"/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</row>
    <row r="72" spans="1:26" ht="13.5" customHeight="1">
      <c r="A72" s="120"/>
      <c r="B72" s="120"/>
      <c r="C72" s="120"/>
      <c r="D72" s="120"/>
      <c r="E72" s="120"/>
      <c r="F72" s="120"/>
      <c r="G72" s="306" t="s">
        <v>206</v>
      </c>
      <c r="H72" s="306"/>
      <c r="I72" s="189">
        <f>ROUND(I70,0)</f>
        <v>4</v>
      </c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</row>
    <row r="73" spans="1:26" ht="13.5" customHeight="1">
      <c r="A73" s="120"/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</row>
  </sheetData>
  <mergeCells count="20">
    <mergeCell ref="D5:E5"/>
    <mergeCell ref="D35:E35"/>
    <mergeCell ref="B46:H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4:C64"/>
    <mergeCell ref="G72:H72"/>
  </mergeCells>
  <printOptions horizontalCentered="1"/>
  <pageMargins left="0.25" right="0.25" top="0.75" bottom="0.75" header="0.3" footer="0.3"/>
  <pageSetup paperSize="9" fitToHeight="0" orientation="portrait" horizontalDpi="300" verticalDpi="300"/>
  <headerFooter>
    <oddHeader>&amp;R &amp;F &amp;A</oddHeader>
    <oddFooter>&amp;C&amp;P/&amp;RGestão Formal de Contratos (visto)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BACC6"/>
    <pageSetUpPr fitToPage="1"/>
  </sheetPr>
  <dimension ref="B1:K24"/>
  <sheetViews>
    <sheetView zoomScaleNormal="100" workbookViewId="0">
      <selection activeCell="K6" sqref="K6"/>
    </sheetView>
  </sheetViews>
  <sheetFormatPr defaultColWidth="14.44140625" defaultRowHeight="11.4"/>
  <cols>
    <col min="1" max="1" width="6.109375" style="190" customWidth="1"/>
    <col min="2" max="2" width="5.77734375" style="190" customWidth="1"/>
    <col min="3" max="3" width="6.88671875" style="190" customWidth="1"/>
    <col min="4" max="4" width="45.5546875" style="190" customWidth="1"/>
    <col min="5" max="5" width="7.109375" style="190" customWidth="1"/>
    <col min="6" max="6" width="14" style="191" customWidth="1"/>
    <col min="7" max="7" width="10.88671875" style="190" customWidth="1"/>
    <col min="8" max="8" width="13.21875" style="192" customWidth="1"/>
    <col min="9" max="9" width="11.6640625" style="190" customWidth="1"/>
    <col min="10" max="10" width="11.6640625" style="190" hidden="1" customWidth="1"/>
    <col min="11" max="11" width="11.6640625" style="190" customWidth="1"/>
    <col min="12" max="16384" width="14.44140625" style="190"/>
  </cols>
  <sheetData>
    <row r="1" spans="2:11">
      <c r="B1" s="193"/>
      <c r="C1" s="193"/>
      <c r="D1" s="193"/>
      <c r="E1" s="193"/>
      <c r="F1" s="194"/>
      <c r="G1" s="193"/>
      <c r="H1" s="195"/>
      <c r="I1" s="193"/>
      <c r="J1" s="193"/>
      <c r="K1" s="193"/>
    </row>
    <row r="2" spans="2:11" ht="12">
      <c r="B2" s="196" t="s">
        <v>207</v>
      </c>
      <c r="C2" s="193"/>
      <c r="E2" s="193"/>
      <c r="F2" s="194"/>
      <c r="G2" s="193"/>
      <c r="H2" s="195"/>
      <c r="I2" s="193"/>
      <c r="J2" s="193"/>
      <c r="K2" s="193"/>
    </row>
    <row r="3" spans="2:11">
      <c r="B3" s="193"/>
      <c r="C3" s="193"/>
      <c r="D3" s="193"/>
      <c r="E3" s="193"/>
      <c r="F3" s="194"/>
      <c r="G3" s="193"/>
      <c r="H3" s="195"/>
      <c r="I3" s="193"/>
      <c r="J3" s="193"/>
      <c r="K3" s="193"/>
    </row>
    <row r="4" spans="2:11" ht="36">
      <c r="B4" s="197" t="s">
        <v>20</v>
      </c>
      <c r="C4" s="197" t="s">
        <v>208</v>
      </c>
      <c r="D4" s="198" t="s">
        <v>209</v>
      </c>
      <c r="E4" s="197" t="s">
        <v>210</v>
      </c>
      <c r="F4" s="199" t="s">
        <v>211</v>
      </c>
      <c r="G4" s="200" t="s">
        <v>212</v>
      </c>
      <c r="H4" s="201" t="s">
        <v>213</v>
      </c>
      <c r="I4" s="202"/>
      <c r="J4" s="202"/>
      <c r="K4" s="202"/>
    </row>
    <row r="5" spans="2:11" ht="22.8">
      <c r="B5" s="194">
        <v>1</v>
      </c>
      <c r="C5" s="203" t="s">
        <v>214</v>
      </c>
      <c r="D5" s="204" t="s">
        <v>215</v>
      </c>
      <c r="E5" s="194">
        <v>1</v>
      </c>
      <c r="F5" s="205">
        <v>1383.33</v>
      </c>
      <c r="G5" s="194">
        <v>120</v>
      </c>
      <c r="H5" s="195">
        <f t="shared" ref="H5:H11" si="0">((F5*E5)/G5)</f>
        <v>11.527749999999999</v>
      </c>
      <c r="I5" s="202"/>
      <c r="J5" s="202" t="s">
        <v>216</v>
      </c>
      <c r="K5" s="202"/>
    </row>
    <row r="6" spans="2:11">
      <c r="B6" s="206">
        <v>2</v>
      </c>
      <c r="C6" s="207" t="s">
        <v>214</v>
      </c>
      <c r="D6" s="208" t="s">
        <v>217</v>
      </c>
      <c r="E6" s="206">
        <v>1</v>
      </c>
      <c r="F6" s="209">
        <v>537.02</v>
      </c>
      <c r="G6" s="206">
        <v>60</v>
      </c>
      <c r="H6" s="210">
        <f t="shared" si="0"/>
        <v>8.950333333333333</v>
      </c>
      <c r="I6" s="202"/>
      <c r="J6" s="202" t="s">
        <v>216</v>
      </c>
      <c r="K6" s="202"/>
    </row>
    <row r="7" spans="2:11" ht="22.8">
      <c r="B7" s="206">
        <v>3</v>
      </c>
      <c r="C7" s="207" t="s">
        <v>214</v>
      </c>
      <c r="D7" s="208" t="s">
        <v>218</v>
      </c>
      <c r="E7" s="206">
        <v>2</v>
      </c>
      <c r="F7" s="209">
        <v>598.46</v>
      </c>
      <c r="G7" s="206">
        <v>60</v>
      </c>
      <c r="H7" s="210">
        <f t="shared" si="0"/>
        <v>19.948666666666668</v>
      </c>
      <c r="I7" s="202"/>
      <c r="J7" s="202" t="s">
        <v>216</v>
      </c>
      <c r="K7" s="202"/>
    </row>
    <row r="8" spans="2:11" ht="22.8">
      <c r="B8" s="206">
        <v>4</v>
      </c>
      <c r="C8" s="207" t="s">
        <v>214</v>
      </c>
      <c r="D8" s="208" t="s">
        <v>219</v>
      </c>
      <c r="E8" s="206">
        <v>1</v>
      </c>
      <c r="F8" s="209">
        <v>3444.94</v>
      </c>
      <c r="G8" s="206">
        <v>120</v>
      </c>
      <c r="H8" s="210">
        <f t="shared" si="0"/>
        <v>28.707833333333333</v>
      </c>
      <c r="I8" s="202"/>
      <c r="J8" s="202" t="s">
        <v>216</v>
      </c>
      <c r="K8" s="202"/>
    </row>
    <row r="9" spans="2:11">
      <c r="B9" s="206">
        <v>5</v>
      </c>
      <c r="C9" s="207" t="s">
        <v>214</v>
      </c>
      <c r="D9" s="208" t="s">
        <v>220</v>
      </c>
      <c r="E9" s="206">
        <v>1</v>
      </c>
      <c r="F9" s="209">
        <v>213.15</v>
      </c>
      <c r="G9" s="206">
        <v>60</v>
      </c>
      <c r="H9" s="210">
        <f t="shared" si="0"/>
        <v>3.5525000000000002</v>
      </c>
      <c r="I9" s="202"/>
      <c r="J9" s="202" t="s">
        <v>216</v>
      </c>
      <c r="K9" s="202"/>
    </row>
    <row r="10" spans="2:11" ht="34.200000000000003">
      <c r="B10" s="206">
        <v>6</v>
      </c>
      <c r="C10" s="207" t="s">
        <v>214</v>
      </c>
      <c r="D10" s="208" t="s">
        <v>221</v>
      </c>
      <c r="E10" s="206">
        <v>2</v>
      </c>
      <c r="F10" s="209">
        <v>1552.47</v>
      </c>
      <c r="G10" s="206">
        <v>120</v>
      </c>
      <c r="H10" s="210">
        <f t="shared" si="0"/>
        <v>25.874500000000001</v>
      </c>
      <c r="I10" s="202"/>
      <c r="J10" s="202" t="s">
        <v>216</v>
      </c>
      <c r="K10" s="202"/>
    </row>
    <row r="11" spans="2:11">
      <c r="B11" s="194">
        <v>7</v>
      </c>
      <c r="C11" s="203" t="s">
        <v>214</v>
      </c>
      <c r="D11" s="204" t="s">
        <v>222</v>
      </c>
      <c r="E11" s="194">
        <v>1</v>
      </c>
      <c r="F11" s="205">
        <v>1334.06</v>
      </c>
      <c r="G11" s="194">
        <v>60</v>
      </c>
      <c r="H11" s="195">
        <f t="shared" si="0"/>
        <v>22.234333333333332</v>
      </c>
      <c r="I11" s="202"/>
      <c r="J11" s="202" t="s">
        <v>216</v>
      </c>
      <c r="K11" s="202"/>
    </row>
    <row r="12" spans="2:11" ht="12">
      <c r="B12" s="211"/>
      <c r="C12" s="211"/>
      <c r="D12" s="212" t="s">
        <v>223</v>
      </c>
      <c r="E12" s="211"/>
      <c r="F12" s="213"/>
      <c r="G12" s="211"/>
      <c r="H12" s="214">
        <f>ROUND(SUM(H5:H11),2)</f>
        <v>120.8</v>
      </c>
      <c r="I12" s="202"/>
      <c r="J12" s="202"/>
      <c r="K12" s="202"/>
    </row>
    <row r="13" spans="2:11" ht="12">
      <c r="B13" s="211"/>
      <c r="C13" s="211"/>
      <c r="D13" s="212" t="s">
        <v>224</v>
      </c>
      <c r="E13" s="215">
        <f>M²!I72</f>
        <v>4</v>
      </c>
      <c r="F13" s="216" t="s">
        <v>225</v>
      </c>
      <c r="G13" s="211"/>
      <c r="H13" s="214">
        <f>ROUND(H12/E13,2)</f>
        <v>30.2</v>
      </c>
      <c r="I13" s="202"/>
      <c r="J13" s="202"/>
      <c r="K13" s="202"/>
    </row>
    <row r="14" spans="2:11">
      <c r="B14" s="193"/>
      <c r="C14" s="193"/>
      <c r="D14" s="193"/>
      <c r="E14" s="193"/>
      <c r="F14" s="194"/>
      <c r="G14" s="193"/>
      <c r="H14" s="195"/>
      <c r="I14" s="202"/>
      <c r="J14" s="202"/>
      <c r="K14" s="202"/>
    </row>
    <row r="15" spans="2:11">
      <c r="B15" s="193"/>
      <c r="C15" s="193"/>
      <c r="D15" s="193"/>
      <c r="E15" s="193"/>
      <c r="F15" s="194"/>
      <c r="G15" s="193"/>
      <c r="H15" s="195"/>
      <c r="I15" s="202"/>
      <c r="J15" s="202"/>
      <c r="K15" s="202"/>
    </row>
    <row r="16" spans="2:11" ht="12">
      <c r="B16" s="196" t="s">
        <v>226</v>
      </c>
      <c r="C16" s="193"/>
      <c r="D16" s="193"/>
      <c r="E16" s="193"/>
      <c r="F16" s="194"/>
      <c r="G16" s="193"/>
      <c r="H16" s="195"/>
      <c r="I16" s="202"/>
      <c r="J16" s="202"/>
      <c r="K16" s="202"/>
    </row>
    <row r="17" spans="2:11">
      <c r="C17" s="193"/>
      <c r="D17" s="193"/>
      <c r="E17" s="193"/>
      <c r="F17" s="194"/>
      <c r="G17" s="193"/>
      <c r="H17" s="195"/>
      <c r="I17" s="202"/>
      <c r="J17" s="202"/>
      <c r="K17" s="202"/>
    </row>
    <row r="18" spans="2:11" ht="12">
      <c r="B18" s="197" t="s">
        <v>20</v>
      </c>
      <c r="C18" s="197" t="s">
        <v>208</v>
      </c>
      <c r="D18" s="198" t="s">
        <v>209</v>
      </c>
      <c r="E18" s="217" t="s">
        <v>227</v>
      </c>
      <c r="F18" s="218" t="s">
        <v>228</v>
      </c>
      <c r="G18" s="217" t="s">
        <v>229</v>
      </c>
      <c r="H18" s="219" t="s">
        <v>230</v>
      </c>
      <c r="I18" s="193"/>
      <c r="J18" s="193"/>
      <c r="K18" s="193"/>
    </row>
    <row r="19" spans="2:11">
      <c r="B19" s="220">
        <v>1</v>
      </c>
      <c r="C19" s="221" t="s">
        <v>214</v>
      </c>
      <c r="D19" s="222" t="s">
        <v>231</v>
      </c>
      <c r="E19" s="220">
        <v>1</v>
      </c>
      <c r="F19" s="223">
        <v>2373.33</v>
      </c>
      <c r="G19" s="224">
        <f>F19*E19</f>
        <v>2373.33</v>
      </c>
      <c r="H19" s="225">
        <f>G19/12</f>
        <v>197.7775</v>
      </c>
      <c r="I19" s="193"/>
      <c r="J19" s="193" t="s">
        <v>216</v>
      </c>
      <c r="K19" s="193"/>
    </row>
    <row r="20" spans="2:11" ht="12">
      <c r="B20" s="211"/>
      <c r="C20" s="211"/>
      <c r="D20" s="212" t="s">
        <v>232</v>
      </c>
      <c r="E20" s="216">
        <f>M²!I72</f>
        <v>4</v>
      </c>
      <c r="F20" s="213" t="s">
        <v>225</v>
      </c>
      <c r="G20" s="226"/>
      <c r="H20" s="227">
        <f>ROUND(H19/E20,2)</f>
        <v>49.44</v>
      </c>
      <c r="I20" s="193"/>
      <c r="J20" s="193"/>
      <c r="K20" s="193"/>
    </row>
    <row r="21" spans="2:11" ht="12">
      <c r="B21" s="193"/>
      <c r="C21" s="193"/>
      <c r="D21" s="196"/>
      <c r="E21" s="228"/>
      <c r="F21" s="205"/>
      <c r="G21" s="229"/>
      <c r="H21" s="195"/>
      <c r="I21" s="193"/>
      <c r="J21" s="193"/>
      <c r="K21" s="193"/>
    </row>
    <row r="22" spans="2:11">
      <c r="B22" s="193"/>
      <c r="C22" s="193"/>
      <c r="D22" s="193"/>
      <c r="E22" s="193"/>
      <c r="F22" s="194"/>
      <c r="G22" s="193"/>
      <c r="H22" s="195"/>
      <c r="I22" s="193"/>
      <c r="J22" s="193"/>
      <c r="K22" s="193"/>
    </row>
    <row r="23" spans="2:11" ht="12">
      <c r="B23" s="211"/>
      <c r="C23" s="211"/>
      <c r="D23" s="212" t="s">
        <v>233</v>
      </c>
      <c r="E23" s="211"/>
      <c r="F23" s="216"/>
      <c r="G23" s="211"/>
      <c r="H23" s="214">
        <f>H20+H13</f>
        <v>79.64</v>
      </c>
      <c r="I23" s="193"/>
      <c r="J23" s="193"/>
      <c r="K23" s="193"/>
    </row>
    <row r="24" spans="2:11">
      <c r="B24" s="193"/>
      <c r="C24" s="193"/>
      <c r="D24" s="193"/>
      <c r="E24" s="193"/>
      <c r="F24" s="194"/>
      <c r="G24" s="193"/>
      <c r="H24" s="195"/>
      <c r="I24" s="193"/>
      <c r="J24" s="193"/>
      <c r="K24" s="193"/>
    </row>
  </sheetData>
  <printOptions horizontalCentered="1"/>
  <pageMargins left="0.25" right="0.25" top="0.75" bottom="0.75" header="0.3" footer="0.3"/>
  <pageSetup paperSize="9" fitToHeight="0" orientation="portrait" horizontalDpi="300" verticalDpi="300"/>
  <headerFooter>
    <oddHeader>&amp;R &amp;F &amp;A</oddHeader>
    <oddFooter>&amp;C&amp;P/&amp;RGestão Formal de Contratos (visto)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4BACC6"/>
    <pageSetUpPr fitToPage="1"/>
  </sheetPr>
  <dimension ref="B2:I33"/>
  <sheetViews>
    <sheetView zoomScaleNormal="100" workbookViewId="0">
      <selection activeCell="D23" sqref="D23"/>
    </sheetView>
  </sheetViews>
  <sheetFormatPr defaultColWidth="14.44140625" defaultRowHeight="14.4"/>
  <cols>
    <col min="1" max="1" width="5.77734375" style="230" customWidth="1"/>
    <col min="2" max="2" width="5.88671875" style="230" customWidth="1"/>
    <col min="3" max="3" width="7.88671875" style="230" customWidth="1"/>
    <col min="4" max="4" width="51.88671875" style="230" customWidth="1"/>
    <col min="5" max="5" width="7.5546875" style="230" customWidth="1"/>
    <col min="6" max="6" width="9.21875" style="231" customWidth="1"/>
    <col min="7" max="7" width="11.44140625" style="231" customWidth="1"/>
    <col min="8" max="8" width="14.44140625" style="230"/>
    <col min="9" max="9" width="11.5546875" style="230" hidden="1" customWidth="1"/>
    <col min="10" max="16384" width="14.44140625" style="230"/>
  </cols>
  <sheetData>
    <row r="2" spans="2:9">
      <c r="B2" s="232" t="s">
        <v>131</v>
      </c>
    </row>
    <row r="3" spans="2:9">
      <c r="B3" s="233"/>
      <c r="C3" s="233"/>
      <c r="D3" s="233"/>
      <c r="E3" s="233"/>
      <c r="F3" s="234"/>
      <c r="G3" s="235"/>
    </row>
    <row r="4" spans="2:9">
      <c r="B4" s="236" t="s">
        <v>20</v>
      </c>
      <c r="C4" s="236" t="s">
        <v>208</v>
      </c>
      <c r="D4" s="237" t="s">
        <v>209</v>
      </c>
      <c r="E4" s="236" t="s">
        <v>234</v>
      </c>
      <c r="F4" s="238" t="s">
        <v>211</v>
      </c>
      <c r="G4" s="238" t="s">
        <v>235</v>
      </c>
    </row>
    <row r="5" spans="2:9">
      <c r="B5" s="239">
        <v>1</v>
      </c>
      <c r="C5" s="240" t="s">
        <v>214</v>
      </c>
      <c r="D5" s="241" t="s">
        <v>236</v>
      </c>
      <c r="E5" s="239">
        <v>1</v>
      </c>
      <c r="F5" s="242">
        <v>56.8</v>
      </c>
      <c r="G5" s="242">
        <f t="shared" ref="G5:G12" si="0">E5*F5</f>
        <v>56.8</v>
      </c>
      <c r="I5" s="230" t="s">
        <v>216</v>
      </c>
    </row>
    <row r="6" spans="2:9">
      <c r="B6" s="243">
        <v>2</v>
      </c>
      <c r="C6" s="244" t="s">
        <v>214</v>
      </c>
      <c r="D6" s="245" t="s">
        <v>237</v>
      </c>
      <c r="E6" s="243">
        <v>2</v>
      </c>
      <c r="F6" s="246">
        <v>68.63</v>
      </c>
      <c r="G6" s="246">
        <f t="shared" si="0"/>
        <v>137.26</v>
      </c>
      <c r="I6" s="230" t="s">
        <v>216</v>
      </c>
    </row>
    <row r="7" spans="2:9">
      <c r="B7" s="243">
        <v>3</v>
      </c>
      <c r="C7" s="244" t="s">
        <v>214</v>
      </c>
      <c r="D7" s="245" t="s">
        <v>238</v>
      </c>
      <c r="E7" s="243">
        <v>1</v>
      </c>
      <c r="F7" s="246">
        <v>16.170000000000002</v>
      </c>
      <c r="G7" s="246">
        <f t="shared" si="0"/>
        <v>16.170000000000002</v>
      </c>
      <c r="I7" s="230" t="s">
        <v>216</v>
      </c>
    </row>
    <row r="8" spans="2:9" ht="20.399999999999999">
      <c r="B8" s="243">
        <v>4</v>
      </c>
      <c r="C8" s="244" t="s">
        <v>214</v>
      </c>
      <c r="D8" s="245" t="s">
        <v>239</v>
      </c>
      <c r="E8" s="243">
        <v>3</v>
      </c>
      <c r="F8" s="246">
        <v>47.83</v>
      </c>
      <c r="G8" s="246">
        <f t="shared" si="0"/>
        <v>143.49</v>
      </c>
      <c r="I8" s="230" t="s">
        <v>216</v>
      </c>
    </row>
    <row r="9" spans="2:9" ht="20.399999999999999">
      <c r="B9" s="243">
        <v>5</v>
      </c>
      <c r="C9" s="244" t="s">
        <v>214</v>
      </c>
      <c r="D9" s="245" t="s">
        <v>240</v>
      </c>
      <c r="E9" s="243">
        <v>3</v>
      </c>
      <c r="F9" s="246">
        <v>39.33</v>
      </c>
      <c r="G9" s="246">
        <f t="shared" si="0"/>
        <v>117.99</v>
      </c>
      <c r="I9" s="230" t="s">
        <v>216</v>
      </c>
    </row>
    <row r="10" spans="2:9">
      <c r="B10" s="243">
        <v>6</v>
      </c>
      <c r="C10" s="244" t="s">
        <v>214</v>
      </c>
      <c r="D10" s="245" t="s">
        <v>241</v>
      </c>
      <c r="E10" s="243">
        <v>1</v>
      </c>
      <c r="F10" s="246">
        <v>126.63</v>
      </c>
      <c r="G10" s="246">
        <f t="shared" si="0"/>
        <v>126.63</v>
      </c>
      <c r="I10" s="230" t="s">
        <v>216</v>
      </c>
    </row>
    <row r="11" spans="2:9" ht="20.399999999999999">
      <c r="B11" s="243">
        <v>7</v>
      </c>
      <c r="C11" s="244" t="s">
        <v>214</v>
      </c>
      <c r="D11" s="245" t="s">
        <v>242</v>
      </c>
      <c r="E11" s="243">
        <v>1</v>
      </c>
      <c r="F11" s="246">
        <v>120.9</v>
      </c>
      <c r="G11" s="246">
        <f t="shared" si="0"/>
        <v>120.9</v>
      </c>
      <c r="I11" s="230" t="s">
        <v>216</v>
      </c>
    </row>
    <row r="12" spans="2:9" ht="20.399999999999999">
      <c r="B12" s="239">
        <v>8</v>
      </c>
      <c r="C12" s="240" t="s">
        <v>214</v>
      </c>
      <c r="D12" s="241" t="s">
        <v>243</v>
      </c>
      <c r="E12" s="239">
        <v>2</v>
      </c>
      <c r="F12" s="242">
        <v>60.4</v>
      </c>
      <c r="G12" s="242">
        <f t="shared" si="0"/>
        <v>120.8</v>
      </c>
      <c r="I12" s="230" t="s">
        <v>216</v>
      </c>
    </row>
    <row r="13" spans="2:9">
      <c r="B13" s="247"/>
      <c r="C13" s="247"/>
      <c r="D13" s="248" t="s">
        <v>244</v>
      </c>
      <c r="E13" s="247"/>
      <c r="F13" s="249"/>
      <c r="G13" s="250">
        <f>SUM(G5:G12)</f>
        <v>840.04</v>
      </c>
    </row>
    <row r="14" spans="2:9">
      <c r="B14" s="247"/>
      <c r="C14" s="247"/>
      <c r="D14" s="248" t="s">
        <v>223</v>
      </c>
      <c r="E14" s="251">
        <v>12</v>
      </c>
      <c r="F14" s="251" t="s">
        <v>245</v>
      </c>
      <c r="G14" s="250">
        <f>G13/E14</f>
        <v>70.00333333333333</v>
      </c>
    </row>
    <row r="15" spans="2:9">
      <c r="B15" s="233"/>
      <c r="C15" s="233"/>
      <c r="D15" s="233"/>
      <c r="E15" s="233"/>
      <c r="F15" s="252"/>
      <c r="G15" s="252"/>
    </row>
    <row r="16" spans="2:9">
      <c r="B16" s="233"/>
      <c r="C16" s="233"/>
      <c r="D16" s="233"/>
      <c r="E16" s="233"/>
      <c r="F16" s="252"/>
      <c r="G16" s="252"/>
    </row>
    <row r="17" spans="2:9">
      <c r="B17" s="232" t="s">
        <v>246</v>
      </c>
      <c r="C17" s="233"/>
      <c r="D17" s="233"/>
      <c r="E17" s="233"/>
      <c r="F17" s="252"/>
      <c r="G17" s="252"/>
    </row>
    <row r="18" spans="2:9">
      <c r="B18" s="233"/>
      <c r="C18" s="233"/>
      <c r="D18" s="233"/>
      <c r="E18" s="233"/>
      <c r="F18" s="252"/>
      <c r="G18" s="252"/>
    </row>
    <row r="19" spans="2:9">
      <c r="B19" s="236" t="s">
        <v>20</v>
      </c>
      <c r="C19" s="236" t="s">
        <v>208</v>
      </c>
      <c r="D19" s="237" t="s">
        <v>209</v>
      </c>
      <c r="E19" s="236" t="s">
        <v>234</v>
      </c>
      <c r="F19" s="238" t="s">
        <v>211</v>
      </c>
      <c r="G19" s="238" t="s">
        <v>235</v>
      </c>
    </row>
    <row r="20" spans="2:9" ht="20.399999999999999">
      <c r="B20" s="239">
        <v>1</v>
      </c>
      <c r="C20" s="240" t="s">
        <v>247</v>
      </c>
      <c r="D20" s="241" t="s">
        <v>248</v>
      </c>
      <c r="E20" s="239">
        <v>1</v>
      </c>
      <c r="F20" s="242">
        <v>40.4</v>
      </c>
      <c r="G20" s="242">
        <f t="shared" ref="G20:G29" si="1">E20*F20</f>
        <v>40.4</v>
      </c>
      <c r="I20" s="230" t="s">
        <v>216</v>
      </c>
    </row>
    <row r="21" spans="2:9" ht="30.6">
      <c r="B21" s="243">
        <v>2</v>
      </c>
      <c r="C21" s="244" t="s">
        <v>247</v>
      </c>
      <c r="D21" s="245" t="s">
        <v>249</v>
      </c>
      <c r="E21" s="243">
        <v>4</v>
      </c>
      <c r="F21" s="246">
        <v>67.319999999999993</v>
      </c>
      <c r="G21" s="246">
        <f t="shared" si="1"/>
        <v>269.27999999999997</v>
      </c>
      <c r="I21" s="230" t="s">
        <v>216</v>
      </c>
    </row>
    <row r="22" spans="2:9">
      <c r="B22" s="243">
        <v>3</v>
      </c>
      <c r="C22" s="244" t="s">
        <v>214</v>
      </c>
      <c r="D22" s="245" t="s">
        <v>250</v>
      </c>
      <c r="E22" s="243">
        <v>1</v>
      </c>
      <c r="F22" s="246">
        <v>20.36</v>
      </c>
      <c r="G22" s="246">
        <f t="shared" si="1"/>
        <v>20.36</v>
      </c>
      <c r="I22" s="230" t="s">
        <v>216</v>
      </c>
    </row>
    <row r="23" spans="2:9">
      <c r="B23" s="243">
        <v>4</v>
      </c>
      <c r="C23" s="244" t="s">
        <v>247</v>
      </c>
      <c r="D23" s="245" t="s">
        <v>251</v>
      </c>
      <c r="E23" s="243">
        <v>45</v>
      </c>
      <c r="F23" s="246">
        <v>10.07</v>
      </c>
      <c r="G23" s="246">
        <f t="shared" si="1"/>
        <v>453.15000000000003</v>
      </c>
      <c r="I23" s="230" t="s">
        <v>252</v>
      </c>
    </row>
    <row r="24" spans="2:9">
      <c r="B24" s="243">
        <v>5</v>
      </c>
      <c r="C24" s="244" t="s">
        <v>247</v>
      </c>
      <c r="D24" s="245" t="s">
        <v>253</v>
      </c>
      <c r="E24" s="243">
        <v>15</v>
      </c>
      <c r="F24" s="246">
        <v>34.5</v>
      </c>
      <c r="G24" s="246">
        <f t="shared" si="1"/>
        <v>517.5</v>
      </c>
      <c r="I24" s="230" t="s">
        <v>252</v>
      </c>
    </row>
    <row r="25" spans="2:9" ht="20.399999999999999">
      <c r="B25" s="243">
        <v>6</v>
      </c>
      <c r="C25" s="244" t="s">
        <v>214</v>
      </c>
      <c r="D25" s="245" t="s">
        <v>254</v>
      </c>
      <c r="E25" s="243">
        <v>15</v>
      </c>
      <c r="F25" s="246">
        <v>2.11</v>
      </c>
      <c r="G25" s="246">
        <f t="shared" si="1"/>
        <v>31.65</v>
      </c>
      <c r="I25" s="230" t="s">
        <v>216</v>
      </c>
    </row>
    <row r="26" spans="2:9" ht="20.399999999999999">
      <c r="B26" s="243">
        <v>7</v>
      </c>
      <c r="C26" s="244" t="s">
        <v>214</v>
      </c>
      <c r="D26" s="245" t="s">
        <v>255</v>
      </c>
      <c r="E26" s="243">
        <v>1</v>
      </c>
      <c r="F26" s="246">
        <v>5.25</v>
      </c>
      <c r="G26" s="246">
        <f t="shared" si="1"/>
        <v>5.25</v>
      </c>
      <c r="I26" s="230" t="s">
        <v>216</v>
      </c>
    </row>
    <row r="27" spans="2:9">
      <c r="B27" s="243">
        <v>8</v>
      </c>
      <c r="C27" s="244" t="s">
        <v>214</v>
      </c>
      <c r="D27" s="245" t="s">
        <v>256</v>
      </c>
      <c r="E27" s="243">
        <v>1</v>
      </c>
      <c r="F27" s="246">
        <v>17.940000000000001</v>
      </c>
      <c r="G27" s="246">
        <f t="shared" si="1"/>
        <v>17.940000000000001</v>
      </c>
      <c r="I27" s="230" t="s">
        <v>216</v>
      </c>
    </row>
    <row r="28" spans="2:9">
      <c r="B28" s="243">
        <v>9</v>
      </c>
      <c r="C28" s="244" t="s">
        <v>247</v>
      </c>
      <c r="D28" s="245" t="s">
        <v>257</v>
      </c>
      <c r="E28" s="243">
        <v>12</v>
      </c>
      <c r="F28" s="246">
        <v>1.1499999999999999</v>
      </c>
      <c r="G28" s="246">
        <f t="shared" si="1"/>
        <v>13.799999999999999</v>
      </c>
      <c r="I28" s="230" t="s">
        <v>216</v>
      </c>
    </row>
    <row r="29" spans="2:9" ht="142.80000000000001">
      <c r="B29" s="239">
        <v>10</v>
      </c>
      <c r="C29" s="240" t="s">
        <v>258</v>
      </c>
      <c r="D29" s="241" t="s">
        <v>259</v>
      </c>
      <c r="E29" s="239">
        <v>5</v>
      </c>
      <c r="F29" s="242">
        <v>10.37</v>
      </c>
      <c r="G29" s="242">
        <f t="shared" si="1"/>
        <v>51.849999999999994</v>
      </c>
      <c r="I29" s="230" t="s">
        <v>216</v>
      </c>
    </row>
    <row r="30" spans="2:9">
      <c r="B30" s="247"/>
      <c r="C30" s="247"/>
      <c r="D30" s="248" t="s">
        <v>244</v>
      </c>
      <c r="E30" s="247"/>
      <c r="F30" s="253"/>
      <c r="G30" s="250">
        <f>SUM(G20:G29)</f>
        <v>1421.18</v>
      </c>
    </row>
    <row r="31" spans="2:9">
      <c r="B31" s="247"/>
      <c r="C31" s="247"/>
      <c r="D31" s="248" t="s">
        <v>223</v>
      </c>
      <c r="E31" s="251">
        <v>12</v>
      </c>
      <c r="F31" s="249"/>
      <c r="G31" s="250">
        <f>G30/E31</f>
        <v>118.43166666666667</v>
      </c>
    </row>
    <row r="32" spans="2:9">
      <c r="B32" s="233"/>
      <c r="C32" s="233"/>
      <c r="D32" s="233"/>
      <c r="E32" s="233"/>
      <c r="F32" s="254"/>
      <c r="G32" s="252"/>
    </row>
    <row r="33" spans="2:7">
      <c r="B33" s="233"/>
      <c r="C33" s="233"/>
      <c r="D33" s="233"/>
      <c r="E33" s="233"/>
      <c r="F33" s="254"/>
      <c r="G33" s="254"/>
    </row>
  </sheetData>
  <printOptions horizontalCentered="1"/>
  <pageMargins left="0.25" right="0.25" top="0.75" bottom="0.75" header="0.3" footer="0.3"/>
  <pageSetup paperSize="9" fitToHeight="0" orientation="portrait" horizontalDpi="300" verticalDpi="300"/>
  <headerFooter>
    <oddHeader>&amp;R &amp;F &amp;A</oddHeader>
    <oddFooter>&amp;C&amp;P/&amp;RGestão Formal de Contratos (visto)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4BACC6"/>
    <pageSetUpPr fitToPage="1"/>
  </sheetPr>
  <dimension ref="B2:I43"/>
  <sheetViews>
    <sheetView topLeftCell="A28" zoomScaleNormal="100" workbookViewId="0">
      <selection activeCell="K35" sqref="K35"/>
    </sheetView>
  </sheetViews>
  <sheetFormatPr defaultColWidth="14.44140625" defaultRowHeight="11.4"/>
  <cols>
    <col min="1" max="1" width="6.109375" style="190" customWidth="1"/>
    <col min="2" max="2" width="6.88671875" style="190" customWidth="1"/>
    <col min="3" max="3" width="9.5546875" style="190" customWidth="1"/>
    <col min="4" max="4" width="44.5546875" style="190" customWidth="1"/>
    <col min="5" max="5" width="7.5546875" style="190" customWidth="1"/>
    <col min="6" max="6" width="10.6640625" style="191" customWidth="1"/>
    <col min="7" max="7" width="16.109375" style="191" customWidth="1"/>
    <col min="8" max="8" width="14.44140625" style="190"/>
    <col min="9" max="9" width="11.5546875" style="190" hidden="1" customWidth="1"/>
    <col min="10" max="16384" width="14.44140625" style="190"/>
  </cols>
  <sheetData>
    <row r="2" spans="2:9" ht="12">
      <c r="B2" s="196" t="s">
        <v>132</v>
      </c>
    </row>
    <row r="3" spans="2:9">
      <c r="B3" s="193"/>
      <c r="C3" s="193"/>
      <c r="D3" s="193"/>
      <c r="E3" s="193"/>
      <c r="F3" s="255"/>
      <c r="G3" s="256"/>
    </row>
    <row r="4" spans="2:9" ht="24">
      <c r="B4" s="198" t="s">
        <v>20</v>
      </c>
      <c r="C4" s="198" t="s">
        <v>214</v>
      </c>
      <c r="D4" s="198" t="s">
        <v>209</v>
      </c>
      <c r="E4" s="197" t="s">
        <v>234</v>
      </c>
      <c r="F4" s="199" t="s">
        <v>211</v>
      </c>
      <c r="G4" s="199" t="s">
        <v>260</v>
      </c>
    </row>
    <row r="5" spans="2:9" ht="46.2">
      <c r="B5" s="194">
        <v>1</v>
      </c>
      <c r="C5" s="203" t="s">
        <v>261</v>
      </c>
      <c r="D5" s="257" t="s">
        <v>262</v>
      </c>
      <c r="E5" s="258">
        <v>50</v>
      </c>
      <c r="F5" s="205">
        <v>11.74</v>
      </c>
      <c r="G5" s="205">
        <f t="shared" ref="G5:G38" si="0">E5*F5</f>
        <v>587</v>
      </c>
      <c r="I5" s="190" t="s">
        <v>216</v>
      </c>
    </row>
    <row r="6" spans="2:9" ht="23.4">
      <c r="B6" s="206">
        <v>2</v>
      </c>
      <c r="C6" s="207" t="s">
        <v>261</v>
      </c>
      <c r="D6" s="259" t="s">
        <v>263</v>
      </c>
      <c r="E6" s="260">
        <v>12</v>
      </c>
      <c r="F6" s="209">
        <v>40.75</v>
      </c>
      <c r="G6" s="209">
        <f t="shared" si="0"/>
        <v>489</v>
      </c>
      <c r="I6" s="190" t="s">
        <v>252</v>
      </c>
    </row>
    <row r="7" spans="2:9" ht="12">
      <c r="B7" s="206">
        <v>3</v>
      </c>
      <c r="C7" s="207" t="s">
        <v>264</v>
      </c>
      <c r="D7" s="259" t="s">
        <v>265</v>
      </c>
      <c r="E7" s="206">
        <v>120</v>
      </c>
      <c r="F7" s="209">
        <v>11.1</v>
      </c>
      <c r="G7" s="209">
        <f t="shared" si="0"/>
        <v>1332</v>
      </c>
      <c r="I7" s="190" t="s">
        <v>252</v>
      </c>
    </row>
    <row r="8" spans="2:9" ht="81">
      <c r="B8" s="206">
        <v>4</v>
      </c>
      <c r="C8" s="207" t="s">
        <v>261</v>
      </c>
      <c r="D8" s="259" t="s">
        <v>266</v>
      </c>
      <c r="E8" s="206">
        <v>24</v>
      </c>
      <c r="F8" s="209">
        <v>56.48</v>
      </c>
      <c r="G8" s="209">
        <f t="shared" si="0"/>
        <v>1355.52</v>
      </c>
      <c r="I8" s="190" t="s">
        <v>216</v>
      </c>
    </row>
    <row r="9" spans="2:9" ht="23.4">
      <c r="B9" s="206">
        <v>5</v>
      </c>
      <c r="C9" s="207" t="s">
        <v>261</v>
      </c>
      <c r="D9" s="259" t="s">
        <v>267</v>
      </c>
      <c r="E9" s="206">
        <v>48</v>
      </c>
      <c r="F9" s="209">
        <v>11.14</v>
      </c>
      <c r="G9" s="209">
        <f t="shared" si="0"/>
        <v>534.72</v>
      </c>
      <c r="I9" s="190" t="s">
        <v>216</v>
      </c>
    </row>
    <row r="10" spans="2:9" ht="23.4">
      <c r="B10" s="206">
        <v>6</v>
      </c>
      <c r="C10" s="207" t="s">
        <v>261</v>
      </c>
      <c r="D10" s="259" t="s">
        <v>268</v>
      </c>
      <c r="E10" s="206">
        <v>72</v>
      </c>
      <c r="F10" s="209">
        <v>16.46</v>
      </c>
      <c r="G10" s="209">
        <f t="shared" si="0"/>
        <v>1185.1200000000001</v>
      </c>
      <c r="I10" s="190" t="s">
        <v>216</v>
      </c>
    </row>
    <row r="11" spans="2:9" ht="22.8">
      <c r="B11" s="206">
        <v>7</v>
      </c>
      <c r="C11" s="207" t="s">
        <v>269</v>
      </c>
      <c r="D11" s="259" t="s">
        <v>270</v>
      </c>
      <c r="E11" s="206">
        <v>36</v>
      </c>
      <c r="F11" s="209">
        <v>9.82</v>
      </c>
      <c r="G11" s="209">
        <f t="shared" si="0"/>
        <v>353.52</v>
      </c>
      <c r="I11" s="190" t="s">
        <v>216</v>
      </c>
    </row>
    <row r="12" spans="2:9" ht="80.400000000000006">
      <c r="B12" s="206">
        <v>8</v>
      </c>
      <c r="C12" s="207" t="s">
        <v>261</v>
      </c>
      <c r="D12" s="259" t="s">
        <v>271</v>
      </c>
      <c r="E12" s="260">
        <v>24</v>
      </c>
      <c r="F12" s="209">
        <v>40.950000000000003</v>
      </c>
      <c r="G12" s="209">
        <f t="shared" si="0"/>
        <v>982.80000000000007</v>
      </c>
      <c r="I12" s="190" t="s">
        <v>252</v>
      </c>
    </row>
    <row r="13" spans="2:9" ht="34.799999999999997">
      <c r="B13" s="206">
        <v>9</v>
      </c>
      <c r="C13" s="207" t="s">
        <v>261</v>
      </c>
      <c r="D13" s="259" t="s">
        <v>272</v>
      </c>
      <c r="E13" s="260">
        <v>36</v>
      </c>
      <c r="F13" s="209">
        <v>11.1</v>
      </c>
      <c r="G13" s="209">
        <f t="shared" si="0"/>
        <v>399.59999999999997</v>
      </c>
      <c r="I13" s="190" t="s">
        <v>252</v>
      </c>
    </row>
    <row r="14" spans="2:9" ht="57.6">
      <c r="B14" s="206">
        <v>10</v>
      </c>
      <c r="C14" s="207" t="s">
        <v>214</v>
      </c>
      <c r="D14" s="259" t="s">
        <v>273</v>
      </c>
      <c r="E14" s="206">
        <v>80</v>
      </c>
      <c r="F14" s="209">
        <v>1.69</v>
      </c>
      <c r="G14" s="209">
        <f t="shared" si="0"/>
        <v>135.19999999999999</v>
      </c>
      <c r="I14" s="190" t="s">
        <v>216</v>
      </c>
    </row>
    <row r="15" spans="2:9" ht="23.4">
      <c r="B15" s="206">
        <v>11</v>
      </c>
      <c r="C15" s="207" t="s">
        <v>274</v>
      </c>
      <c r="D15" s="259" t="s">
        <v>275</v>
      </c>
      <c r="E15" s="206">
        <v>8</v>
      </c>
      <c r="F15" s="209">
        <v>2.17</v>
      </c>
      <c r="G15" s="209">
        <f t="shared" si="0"/>
        <v>17.36</v>
      </c>
      <c r="I15" s="190" t="s">
        <v>216</v>
      </c>
    </row>
    <row r="16" spans="2:9" ht="46.2">
      <c r="B16" s="206">
        <v>12</v>
      </c>
      <c r="C16" s="207" t="s">
        <v>214</v>
      </c>
      <c r="D16" s="259" t="s">
        <v>276</v>
      </c>
      <c r="E16" s="206">
        <v>144</v>
      </c>
      <c r="F16" s="209">
        <v>0.86</v>
      </c>
      <c r="G16" s="209">
        <f t="shared" si="0"/>
        <v>123.84</v>
      </c>
      <c r="I16" s="190" t="s">
        <v>216</v>
      </c>
    </row>
    <row r="17" spans="2:9" ht="23.4">
      <c r="B17" s="206">
        <v>13</v>
      </c>
      <c r="C17" s="207" t="s">
        <v>214</v>
      </c>
      <c r="D17" s="259" t="s">
        <v>277</v>
      </c>
      <c r="E17" s="206">
        <v>180</v>
      </c>
      <c r="F17" s="209">
        <v>3.36</v>
      </c>
      <c r="G17" s="209">
        <f t="shared" si="0"/>
        <v>604.79999999999995</v>
      </c>
      <c r="I17" s="190" t="s">
        <v>216</v>
      </c>
    </row>
    <row r="18" spans="2:9" ht="34.799999999999997">
      <c r="B18" s="206">
        <v>14</v>
      </c>
      <c r="C18" s="207" t="s">
        <v>278</v>
      </c>
      <c r="D18" s="259" t="s">
        <v>279</v>
      </c>
      <c r="E18" s="206">
        <v>48</v>
      </c>
      <c r="F18" s="209">
        <v>12.85</v>
      </c>
      <c r="G18" s="209">
        <f t="shared" si="0"/>
        <v>616.79999999999995</v>
      </c>
      <c r="I18" s="190" t="s">
        <v>252</v>
      </c>
    </row>
    <row r="19" spans="2:9" ht="22.8">
      <c r="B19" s="206">
        <v>15</v>
      </c>
      <c r="C19" s="207" t="s">
        <v>280</v>
      </c>
      <c r="D19" s="259" t="s">
        <v>281</v>
      </c>
      <c r="E19" s="206">
        <v>12</v>
      </c>
      <c r="F19" s="209">
        <v>133.65</v>
      </c>
      <c r="G19" s="209">
        <f t="shared" si="0"/>
        <v>1603.8000000000002</v>
      </c>
      <c r="I19" s="190" t="s">
        <v>252</v>
      </c>
    </row>
    <row r="20" spans="2:9" ht="46.2">
      <c r="B20" s="206">
        <v>16</v>
      </c>
      <c r="C20" s="207" t="s">
        <v>278</v>
      </c>
      <c r="D20" s="259" t="s">
        <v>282</v>
      </c>
      <c r="E20" s="206">
        <v>120</v>
      </c>
      <c r="F20" s="209">
        <v>4.8099999999999996</v>
      </c>
      <c r="G20" s="209">
        <f t="shared" si="0"/>
        <v>577.19999999999993</v>
      </c>
      <c r="I20" s="190" t="s">
        <v>216</v>
      </c>
    </row>
    <row r="21" spans="2:9" ht="23.4">
      <c r="B21" s="206">
        <v>17</v>
      </c>
      <c r="C21" s="207" t="s">
        <v>261</v>
      </c>
      <c r="D21" s="259" t="s">
        <v>283</v>
      </c>
      <c r="E21" s="206">
        <v>7</v>
      </c>
      <c r="F21" s="209">
        <v>36.729999999999997</v>
      </c>
      <c r="G21" s="209">
        <f t="shared" si="0"/>
        <v>257.10999999999996</v>
      </c>
      <c r="I21" s="190" t="s">
        <v>216</v>
      </c>
    </row>
    <row r="22" spans="2:9" ht="12">
      <c r="B22" s="206">
        <v>18</v>
      </c>
      <c r="C22" s="207" t="s">
        <v>214</v>
      </c>
      <c r="D22" s="259" t="s">
        <v>284</v>
      </c>
      <c r="E22" s="206">
        <v>12</v>
      </c>
      <c r="F22" s="209">
        <v>107.39</v>
      </c>
      <c r="G22" s="209">
        <f t="shared" si="0"/>
        <v>1288.68</v>
      </c>
      <c r="I22" s="190" t="s">
        <v>216</v>
      </c>
    </row>
    <row r="23" spans="2:9" ht="22.8">
      <c r="B23" s="206">
        <v>19</v>
      </c>
      <c r="C23" s="207" t="s">
        <v>285</v>
      </c>
      <c r="D23" s="259" t="s">
        <v>286</v>
      </c>
      <c r="E23" s="260">
        <v>130</v>
      </c>
      <c r="F23" s="209">
        <v>45.3</v>
      </c>
      <c r="G23" s="209">
        <f t="shared" si="0"/>
        <v>5889</v>
      </c>
      <c r="I23" s="190" t="s">
        <v>216</v>
      </c>
    </row>
    <row r="24" spans="2:9" ht="22.8">
      <c r="B24" s="206">
        <v>20</v>
      </c>
      <c r="C24" s="207" t="s">
        <v>287</v>
      </c>
      <c r="D24" s="259" t="s">
        <v>288</v>
      </c>
      <c r="E24" s="260">
        <v>120</v>
      </c>
      <c r="F24" s="209">
        <v>6.96</v>
      </c>
      <c r="G24" s="209">
        <f t="shared" si="0"/>
        <v>835.2</v>
      </c>
      <c r="I24" s="190" t="s">
        <v>216</v>
      </c>
    </row>
    <row r="25" spans="2:9" ht="36">
      <c r="B25" s="206">
        <v>21</v>
      </c>
      <c r="C25" s="207" t="s">
        <v>280</v>
      </c>
      <c r="D25" s="259" t="s">
        <v>289</v>
      </c>
      <c r="E25" s="206">
        <v>60</v>
      </c>
      <c r="F25" s="209">
        <v>54.51</v>
      </c>
      <c r="G25" s="209">
        <f t="shared" si="0"/>
        <v>3270.6</v>
      </c>
      <c r="I25" s="190" t="s">
        <v>216</v>
      </c>
    </row>
    <row r="26" spans="2:9" ht="23.4">
      <c r="B26" s="206">
        <v>22</v>
      </c>
      <c r="C26" s="207" t="s">
        <v>214</v>
      </c>
      <c r="D26" s="259" t="s">
        <v>290</v>
      </c>
      <c r="E26" s="260">
        <v>96</v>
      </c>
      <c r="F26" s="209">
        <v>4.0199999999999996</v>
      </c>
      <c r="G26" s="209">
        <f t="shared" si="0"/>
        <v>385.91999999999996</v>
      </c>
      <c r="I26" s="190" t="s">
        <v>216</v>
      </c>
    </row>
    <row r="27" spans="2:9" ht="23.4">
      <c r="B27" s="206">
        <v>23</v>
      </c>
      <c r="C27" s="207" t="s">
        <v>291</v>
      </c>
      <c r="D27" s="259" t="s">
        <v>292</v>
      </c>
      <c r="E27" s="260">
        <v>90</v>
      </c>
      <c r="F27" s="209">
        <v>6.58</v>
      </c>
      <c r="G27" s="209">
        <f t="shared" si="0"/>
        <v>592.20000000000005</v>
      </c>
      <c r="I27" s="190" t="s">
        <v>216</v>
      </c>
    </row>
    <row r="28" spans="2:9" ht="22.8">
      <c r="B28" s="206">
        <v>24</v>
      </c>
      <c r="C28" s="207" t="s">
        <v>280</v>
      </c>
      <c r="D28" s="259" t="s">
        <v>293</v>
      </c>
      <c r="E28" s="206">
        <v>60</v>
      </c>
      <c r="F28" s="209">
        <v>22.25</v>
      </c>
      <c r="G28" s="209">
        <f t="shared" si="0"/>
        <v>1335</v>
      </c>
      <c r="I28" s="190" t="s">
        <v>216</v>
      </c>
    </row>
    <row r="29" spans="2:9" ht="23.4">
      <c r="B29" s="206">
        <v>25</v>
      </c>
      <c r="C29" s="207" t="s">
        <v>214</v>
      </c>
      <c r="D29" s="259" t="s">
        <v>294</v>
      </c>
      <c r="E29" s="206">
        <v>150</v>
      </c>
      <c r="F29" s="209">
        <v>11.04</v>
      </c>
      <c r="G29" s="209">
        <f t="shared" si="0"/>
        <v>1655.9999999999998</v>
      </c>
      <c r="I29" s="190" t="s">
        <v>216</v>
      </c>
    </row>
    <row r="30" spans="2:9" ht="46.2">
      <c r="B30" s="206">
        <v>26</v>
      </c>
      <c r="C30" s="207" t="s">
        <v>295</v>
      </c>
      <c r="D30" s="259" t="s">
        <v>296</v>
      </c>
      <c r="E30" s="206">
        <v>96</v>
      </c>
      <c r="F30" s="209">
        <v>45.1</v>
      </c>
      <c r="G30" s="209">
        <f t="shared" si="0"/>
        <v>4329.6000000000004</v>
      </c>
      <c r="I30" s="190" t="s">
        <v>216</v>
      </c>
    </row>
    <row r="31" spans="2:9" ht="34.799999999999997">
      <c r="B31" s="206">
        <v>27</v>
      </c>
      <c r="C31" s="207" t="s">
        <v>295</v>
      </c>
      <c r="D31" s="259" t="s">
        <v>297</v>
      </c>
      <c r="E31" s="206">
        <v>120</v>
      </c>
      <c r="F31" s="209">
        <v>9.44</v>
      </c>
      <c r="G31" s="209">
        <f t="shared" si="0"/>
        <v>1132.8</v>
      </c>
      <c r="I31" s="190" t="s">
        <v>216</v>
      </c>
    </row>
    <row r="32" spans="2:9" ht="23.4">
      <c r="B32" s="206">
        <v>28</v>
      </c>
      <c r="C32" s="207" t="s">
        <v>298</v>
      </c>
      <c r="D32" s="259" t="s">
        <v>299</v>
      </c>
      <c r="E32" s="260">
        <v>60</v>
      </c>
      <c r="F32" s="209">
        <v>4.8</v>
      </c>
      <c r="G32" s="209">
        <f t="shared" si="0"/>
        <v>288</v>
      </c>
      <c r="I32" s="190" t="s">
        <v>216</v>
      </c>
    </row>
    <row r="33" spans="2:9" ht="34.799999999999997">
      <c r="B33" s="206">
        <v>29</v>
      </c>
      <c r="C33" s="207" t="s">
        <v>300</v>
      </c>
      <c r="D33" s="259" t="s">
        <v>301</v>
      </c>
      <c r="E33" s="206">
        <v>700</v>
      </c>
      <c r="F33" s="209">
        <v>9.1300000000000008</v>
      </c>
      <c r="G33" s="209">
        <f t="shared" si="0"/>
        <v>6391.0000000000009</v>
      </c>
      <c r="I33" s="190" t="s">
        <v>216</v>
      </c>
    </row>
    <row r="34" spans="2:9" ht="23.4">
      <c r="B34" s="206">
        <v>30</v>
      </c>
      <c r="C34" s="207" t="s">
        <v>214</v>
      </c>
      <c r="D34" s="259" t="s">
        <v>370</v>
      </c>
      <c r="E34" s="206">
        <v>240</v>
      </c>
      <c r="F34" s="209">
        <v>3.58</v>
      </c>
      <c r="G34" s="209">
        <f t="shared" si="0"/>
        <v>859.2</v>
      </c>
      <c r="I34" s="190" t="s">
        <v>216</v>
      </c>
    </row>
    <row r="35" spans="2:9" ht="34.799999999999997">
      <c r="B35" s="206">
        <v>31</v>
      </c>
      <c r="C35" s="207" t="s">
        <v>295</v>
      </c>
      <c r="D35" s="259" t="s">
        <v>371</v>
      </c>
      <c r="E35" s="206">
        <v>120</v>
      </c>
      <c r="F35" s="209">
        <v>9.1999999999999993</v>
      </c>
      <c r="G35" s="209">
        <f t="shared" si="0"/>
        <v>1104</v>
      </c>
      <c r="I35" s="190" t="s">
        <v>216</v>
      </c>
    </row>
    <row r="36" spans="2:9" ht="34.799999999999997">
      <c r="B36" s="206">
        <v>32</v>
      </c>
      <c r="C36" s="207" t="s">
        <v>302</v>
      </c>
      <c r="D36" s="259" t="s">
        <v>372</v>
      </c>
      <c r="E36" s="206">
        <v>50</v>
      </c>
      <c r="F36" s="209">
        <v>49.52</v>
      </c>
      <c r="G36" s="209">
        <f t="shared" si="0"/>
        <v>2476</v>
      </c>
      <c r="I36" s="190" t="s">
        <v>216</v>
      </c>
    </row>
    <row r="37" spans="2:9" ht="34.799999999999997">
      <c r="B37" s="206">
        <v>33</v>
      </c>
      <c r="C37" s="206" t="s">
        <v>214</v>
      </c>
      <c r="D37" s="259" t="s">
        <v>373</v>
      </c>
      <c r="E37" s="206">
        <v>120</v>
      </c>
      <c r="F37" s="209">
        <v>6.43</v>
      </c>
      <c r="G37" s="209">
        <f t="shared" si="0"/>
        <v>771.59999999999991</v>
      </c>
      <c r="I37" s="190" t="s">
        <v>216</v>
      </c>
    </row>
    <row r="38" spans="2:9" ht="22.8">
      <c r="B38" s="194">
        <v>34</v>
      </c>
      <c r="C38" s="203" t="s">
        <v>303</v>
      </c>
      <c r="D38" s="196" t="s">
        <v>374</v>
      </c>
      <c r="E38" s="194">
        <v>5</v>
      </c>
      <c r="F38" s="205">
        <v>1.76</v>
      </c>
      <c r="G38" s="205">
        <f t="shared" si="0"/>
        <v>8.8000000000000007</v>
      </c>
      <c r="I38" s="190" t="s">
        <v>216</v>
      </c>
    </row>
    <row r="39" spans="2:9" ht="12">
      <c r="B39" s="211"/>
      <c r="C39" s="211"/>
      <c r="D39" s="212" t="s">
        <v>244</v>
      </c>
      <c r="E39" s="211"/>
      <c r="F39" s="213"/>
      <c r="G39" s="214">
        <f>SUM(G5:G38)</f>
        <v>43768.99</v>
      </c>
    </row>
    <row r="40" spans="2:9" ht="12">
      <c r="B40" s="211"/>
      <c r="C40" s="211"/>
      <c r="D40" s="212" t="s">
        <v>223</v>
      </c>
      <c r="E40" s="216">
        <v>12</v>
      </c>
      <c r="F40" s="216" t="s">
        <v>245</v>
      </c>
      <c r="G40" s="214">
        <f>G39/E40</f>
        <v>3647.415833333333</v>
      </c>
    </row>
    <row r="41" spans="2:9" ht="12">
      <c r="B41" s="211"/>
      <c r="C41" s="211"/>
      <c r="D41" s="212" t="s">
        <v>224</v>
      </c>
      <c r="E41" s="216">
        <f>M²!I72</f>
        <v>4</v>
      </c>
      <c r="F41" s="216" t="s">
        <v>225</v>
      </c>
      <c r="G41" s="214">
        <f>G40/E41</f>
        <v>911.85395833333325</v>
      </c>
    </row>
    <row r="42" spans="2:9">
      <c r="B42" s="193"/>
      <c r="C42" s="193"/>
      <c r="D42" s="193"/>
      <c r="E42" s="193"/>
      <c r="F42" s="194"/>
      <c r="G42" s="261"/>
    </row>
    <row r="43" spans="2:9">
      <c r="B43" s="193"/>
      <c r="C43" s="193"/>
      <c r="D43" s="193"/>
      <c r="E43" s="193"/>
      <c r="F43" s="194"/>
      <c r="G43" s="194"/>
    </row>
  </sheetData>
  <printOptions horizontalCentered="1"/>
  <pageMargins left="0.25" right="0.25" top="0.75" bottom="0.75" header="0.3" footer="0.3"/>
  <pageSetup paperSize="9" fitToHeight="0" orientation="portrait" horizontalDpi="300" verticalDpi="300"/>
  <headerFooter>
    <oddHeader>&amp;R &amp;F &amp;A</oddHeader>
    <oddFooter>&amp;C&amp;P/&amp;RGestão Formal de Contratos (visto)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4BACC6"/>
    <pageSetUpPr fitToPage="1"/>
  </sheetPr>
  <dimension ref="B1:I27"/>
  <sheetViews>
    <sheetView topLeftCell="A16" zoomScaleNormal="100" workbookViewId="0">
      <selection activeCell="K21" sqref="K21"/>
    </sheetView>
  </sheetViews>
  <sheetFormatPr defaultColWidth="14.44140625" defaultRowHeight="11.4"/>
  <cols>
    <col min="1" max="1" width="4.88671875" style="190" customWidth="1"/>
    <col min="2" max="3" width="7.5546875" style="190" customWidth="1"/>
    <col min="4" max="4" width="48" style="190" customWidth="1"/>
    <col min="5" max="5" width="7.5546875" style="190" customWidth="1"/>
    <col min="6" max="6" width="10.5546875" style="191" customWidth="1"/>
    <col min="7" max="7" width="10.6640625" style="191" customWidth="1"/>
    <col min="8" max="8" width="14.44140625" style="190"/>
    <col min="9" max="9" width="11.5546875" style="190" hidden="1" customWidth="1"/>
    <col min="10" max="16384" width="14.44140625" style="190"/>
  </cols>
  <sheetData>
    <row r="1" spans="2:9">
      <c r="B1" s="193"/>
      <c r="C1" s="193"/>
      <c r="D1" s="193"/>
      <c r="E1" s="193"/>
      <c r="F1" s="194"/>
      <c r="G1" s="194"/>
    </row>
    <row r="2" spans="2:9" ht="12">
      <c r="B2" s="196" t="s">
        <v>134</v>
      </c>
      <c r="C2" s="193"/>
      <c r="E2" s="311"/>
      <c r="F2" s="311"/>
      <c r="G2" s="311"/>
    </row>
    <row r="3" spans="2:9">
      <c r="B3" s="193"/>
      <c r="C3" s="193"/>
      <c r="D3" s="193"/>
      <c r="E3" s="193"/>
      <c r="F3" s="255"/>
      <c r="G3" s="256"/>
    </row>
    <row r="4" spans="2:9" ht="24">
      <c r="B4" s="197" t="s">
        <v>20</v>
      </c>
      <c r="C4" s="197" t="s">
        <v>208</v>
      </c>
      <c r="D4" s="198" t="s">
        <v>209</v>
      </c>
      <c r="E4" s="197" t="s">
        <v>234</v>
      </c>
      <c r="F4" s="199" t="s">
        <v>211</v>
      </c>
      <c r="G4" s="199" t="s">
        <v>235</v>
      </c>
    </row>
    <row r="5" spans="2:9" ht="34.799999999999997">
      <c r="B5" s="194">
        <v>1</v>
      </c>
      <c r="C5" s="203" t="s">
        <v>214</v>
      </c>
      <c r="D5" s="257" t="s">
        <v>304</v>
      </c>
      <c r="E5" s="194">
        <v>24</v>
      </c>
      <c r="F5" s="205">
        <v>8.77</v>
      </c>
      <c r="G5" s="205">
        <f t="shared" ref="G5:G22" si="0">E5*F5</f>
        <v>210.48</v>
      </c>
      <c r="I5" s="190" t="s">
        <v>216</v>
      </c>
    </row>
    <row r="6" spans="2:9" ht="23.4">
      <c r="B6" s="206">
        <v>2</v>
      </c>
      <c r="C6" s="207" t="s">
        <v>214</v>
      </c>
      <c r="D6" s="259" t="s">
        <v>305</v>
      </c>
      <c r="E6" s="206">
        <v>48</v>
      </c>
      <c r="F6" s="209">
        <v>3.95</v>
      </c>
      <c r="G6" s="209">
        <f t="shared" si="0"/>
        <v>189.60000000000002</v>
      </c>
      <c r="I6" s="190" t="s">
        <v>216</v>
      </c>
    </row>
    <row r="7" spans="2:9" ht="34.799999999999997">
      <c r="B7" s="206">
        <v>3</v>
      </c>
      <c r="C7" s="207" t="s">
        <v>214</v>
      </c>
      <c r="D7" s="259" t="s">
        <v>306</v>
      </c>
      <c r="E7" s="206">
        <v>35</v>
      </c>
      <c r="F7" s="209">
        <v>27.11</v>
      </c>
      <c r="G7" s="209">
        <f t="shared" si="0"/>
        <v>948.85</v>
      </c>
      <c r="I7" s="190" t="s">
        <v>216</v>
      </c>
    </row>
    <row r="8" spans="2:9" ht="23.4">
      <c r="B8" s="206">
        <v>4</v>
      </c>
      <c r="C8" s="207" t="s">
        <v>214</v>
      </c>
      <c r="D8" s="259" t="s">
        <v>307</v>
      </c>
      <c r="E8" s="206">
        <v>10</v>
      </c>
      <c r="F8" s="209">
        <v>2.19</v>
      </c>
      <c r="G8" s="209">
        <f t="shared" si="0"/>
        <v>21.9</v>
      </c>
      <c r="I8" s="190" t="s">
        <v>216</v>
      </c>
    </row>
    <row r="9" spans="2:9" ht="12">
      <c r="B9" s="206">
        <v>5</v>
      </c>
      <c r="C9" s="207" t="s">
        <v>214</v>
      </c>
      <c r="D9" s="259" t="s">
        <v>308</v>
      </c>
      <c r="E9" s="206">
        <v>30</v>
      </c>
      <c r="F9" s="209">
        <v>10.029999999999999</v>
      </c>
      <c r="G9" s="209">
        <f t="shared" si="0"/>
        <v>300.89999999999998</v>
      </c>
      <c r="I9" s="190" t="s">
        <v>252</v>
      </c>
    </row>
    <row r="10" spans="2:9" ht="23.4">
      <c r="B10" s="206">
        <v>6</v>
      </c>
      <c r="C10" s="207" t="s">
        <v>214</v>
      </c>
      <c r="D10" s="259" t="s">
        <v>309</v>
      </c>
      <c r="E10" s="206">
        <v>15</v>
      </c>
      <c r="F10" s="209">
        <v>21.24</v>
      </c>
      <c r="G10" s="209">
        <f t="shared" si="0"/>
        <v>318.59999999999997</v>
      </c>
      <c r="I10" s="190" t="s">
        <v>216</v>
      </c>
    </row>
    <row r="11" spans="2:9" ht="12">
      <c r="B11" s="206">
        <v>7</v>
      </c>
      <c r="C11" s="207" t="s">
        <v>214</v>
      </c>
      <c r="D11" s="259" t="s">
        <v>310</v>
      </c>
      <c r="E11" s="206">
        <v>2</v>
      </c>
      <c r="F11" s="209">
        <v>408.73</v>
      </c>
      <c r="G11" s="209">
        <f t="shared" si="0"/>
        <v>817.46</v>
      </c>
      <c r="I11" s="190" t="s">
        <v>252</v>
      </c>
    </row>
    <row r="12" spans="2:9" ht="23.4">
      <c r="B12" s="206">
        <v>8</v>
      </c>
      <c r="C12" s="207" t="s">
        <v>214</v>
      </c>
      <c r="D12" s="259" t="s">
        <v>311</v>
      </c>
      <c r="E12" s="206">
        <v>4</v>
      </c>
      <c r="F12" s="209">
        <v>45.17</v>
      </c>
      <c r="G12" s="209">
        <f t="shared" si="0"/>
        <v>180.68</v>
      </c>
      <c r="I12" s="190" t="s">
        <v>216</v>
      </c>
    </row>
    <row r="13" spans="2:9" ht="23.4">
      <c r="B13" s="206">
        <v>9</v>
      </c>
      <c r="C13" s="207" t="s">
        <v>214</v>
      </c>
      <c r="D13" s="259" t="s">
        <v>312</v>
      </c>
      <c r="E13" s="206">
        <v>3</v>
      </c>
      <c r="F13" s="209">
        <v>134.97</v>
      </c>
      <c r="G13" s="209">
        <f t="shared" si="0"/>
        <v>404.90999999999997</v>
      </c>
      <c r="I13" s="190" t="s">
        <v>216</v>
      </c>
    </row>
    <row r="14" spans="2:9" ht="34.799999999999997">
      <c r="B14" s="206">
        <v>10</v>
      </c>
      <c r="C14" s="207" t="s">
        <v>214</v>
      </c>
      <c r="D14" s="259" t="s">
        <v>313</v>
      </c>
      <c r="E14" s="206">
        <v>10</v>
      </c>
      <c r="F14" s="209">
        <v>21.04</v>
      </c>
      <c r="G14" s="209">
        <f t="shared" si="0"/>
        <v>210.39999999999998</v>
      </c>
      <c r="I14" s="190" t="s">
        <v>252</v>
      </c>
    </row>
    <row r="15" spans="2:9" ht="12">
      <c r="B15" s="206">
        <v>11</v>
      </c>
      <c r="C15" s="207" t="s">
        <v>214</v>
      </c>
      <c r="D15" s="259" t="s">
        <v>314</v>
      </c>
      <c r="E15" s="206">
        <v>20</v>
      </c>
      <c r="F15" s="209">
        <v>41.94</v>
      </c>
      <c r="G15" s="209">
        <f t="shared" si="0"/>
        <v>838.8</v>
      </c>
      <c r="I15" s="190" t="s">
        <v>252</v>
      </c>
    </row>
    <row r="16" spans="2:9" ht="12">
      <c r="B16" s="206">
        <v>12</v>
      </c>
      <c r="C16" s="207" t="s">
        <v>214</v>
      </c>
      <c r="D16" s="259" t="s">
        <v>315</v>
      </c>
      <c r="E16" s="206">
        <v>4</v>
      </c>
      <c r="F16" s="209">
        <v>65.84</v>
      </c>
      <c r="G16" s="209">
        <f t="shared" si="0"/>
        <v>263.36</v>
      </c>
      <c r="I16" s="190" t="s">
        <v>216</v>
      </c>
    </row>
    <row r="17" spans="2:9" ht="12">
      <c r="B17" s="206">
        <v>13</v>
      </c>
      <c r="C17" s="207" t="s">
        <v>214</v>
      </c>
      <c r="D17" s="259" t="s">
        <v>316</v>
      </c>
      <c r="E17" s="206">
        <v>4</v>
      </c>
      <c r="F17" s="209">
        <v>34.28</v>
      </c>
      <c r="G17" s="209">
        <f t="shared" si="0"/>
        <v>137.12</v>
      </c>
      <c r="I17" s="190" t="s">
        <v>216</v>
      </c>
    </row>
    <row r="18" spans="2:9" ht="23.4">
      <c r="B18" s="206">
        <v>14</v>
      </c>
      <c r="C18" s="207" t="s">
        <v>214</v>
      </c>
      <c r="D18" s="259" t="s">
        <v>317</v>
      </c>
      <c r="E18" s="206">
        <v>10</v>
      </c>
      <c r="F18" s="209">
        <v>21.5</v>
      </c>
      <c r="G18" s="209">
        <f t="shared" si="0"/>
        <v>215</v>
      </c>
      <c r="I18" s="190" t="s">
        <v>216</v>
      </c>
    </row>
    <row r="19" spans="2:9" ht="34.799999999999997">
      <c r="B19" s="206">
        <v>15</v>
      </c>
      <c r="C19" s="207" t="s">
        <v>214</v>
      </c>
      <c r="D19" s="259" t="s">
        <v>318</v>
      </c>
      <c r="E19" s="206">
        <v>15</v>
      </c>
      <c r="F19" s="209">
        <v>13.6</v>
      </c>
      <c r="G19" s="209">
        <f t="shared" si="0"/>
        <v>204</v>
      </c>
      <c r="I19" s="190" t="s">
        <v>216</v>
      </c>
    </row>
    <row r="20" spans="2:9" ht="69">
      <c r="B20" s="206">
        <v>16</v>
      </c>
      <c r="C20" s="207" t="s">
        <v>214</v>
      </c>
      <c r="D20" s="259" t="s">
        <v>319</v>
      </c>
      <c r="E20" s="206">
        <v>15</v>
      </c>
      <c r="F20" s="209">
        <v>15.77</v>
      </c>
      <c r="G20" s="209">
        <f t="shared" si="0"/>
        <v>236.54999999999998</v>
      </c>
      <c r="I20" s="190" t="s">
        <v>216</v>
      </c>
    </row>
    <row r="21" spans="2:9" ht="69.599999999999994">
      <c r="B21" s="206">
        <v>17</v>
      </c>
      <c r="C21" s="207" t="s">
        <v>214</v>
      </c>
      <c r="D21" s="259" t="s">
        <v>375</v>
      </c>
      <c r="E21" s="206">
        <v>30</v>
      </c>
      <c r="F21" s="209">
        <v>21.73</v>
      </c>
      <c r="G21" s="209">
        <f t="shared" si="0"/>
        <v>651.9</v>
      </c>
      <c r="I21" s="190" t="s">
        <v>216</v>
      </c>
    </row>
    <row r="22" spans="2:9" ht="58.2">
      <c r="B22" s="194">
        <v>18</v>
      </c>
      <c r="C22" s="203" t="s">
        <v>214</v>
      </c>
      <c r="D22" s="257" t="s">
        <v>376</v>
      </c>
      <c r="E22" s="262">
        <v>20</v>
      </c>
      <c r="F22" s="205">
        <v>121.37</v>
      </c>
      <c r="G22" s="205">
        <f t="shared" si="0"/>
        <v>2427.4</v>
      </c>
      <c r="I22" s="190" t="s">
        <v>216</v>
      </c>
    </row>
    <row r="23" spans="2:9" ht="12">
      <c r="B23" s="212" t="s">
        <v>244</v>
      </c>
      <c r="C23" s="211"/>
      <c r="D23" s="211"/>
      <c r="E23" s="263"/>
      <c r="F23" s="216"/>
      <c r="G23" s="213">
        <f>SUM(G5:G22)</f>
        <v>8577.91</v>
      </c>
    </row>
    <row r="24" spans="2:9" ht="12">
      <c r="B24" s="312" t="s">
        <v>223</v>
      </c>
      <c r="C24" s="312"/>
      <c r="D24" s="312"/>
      <c r="E24" s="216">
        <v>12</v>
      </c>
      <c r="F24" s="216" t="s">
        <v>245</v>
      </c>
      <c r="G24" s="213">
        <f>G23/E24</f>
        <v>714.82583333333332</v>
      </c>
    </row>
    <row r="25" spans="2:9" ht="12">
      <c r="B25" s="312" t="s">
        <v>224</v>
      </c>
      <c r="C25" s="312"/>
      <c r="D25" s="312"/>
      <c r="E25" s="216">
        <f>M²!I72</f>
        <v>4</v>
      </c>
      <c r="F25" s="216" t="s">
        <v>225</v>
      </c>
      <c r="G25" s="213">
        <f>G24/E25</f>
        <v>178.70645833333333</v>
      </c>
    </row>
    <row r="26" spans="2:9">
      <c r="B26" s="193"/>
      <c r="C26" s="193"/>
      <c r="D26" s="193"/>
      <c r="E26" s="193"/>
      <c r="F26" s="194"/>
      <c r="G26" s="194"/>
    </row>
    <row r="27" spans="2:9">
      <c r="B27" s="193"/>
      <c r="C27" s="193"/>
      <c r="D27" s="193"/>
      <c r="E27" s="193"/>
      <c r="F27" s="194"/>
      <c r="G27" s="194"/>
    </row>
  </sheetData>
  <mergeCells count="3">
    <mergeCell ref="E2:G2"/>
    <mergeCell ref="B24:D24"/>
    <mergeCell ref="B25:D25"/>
  </mergeCells>
  <printOptions horizontalCentered="1"/>
  <pageMargins left="0.25" right="0.25" top="0.75" bottom="0.75" header="0.3" footer="0.3"/>
  <pageSetup paperSize="9" fitToHeight="0" orientation="portrait" horizontalDpi="300" verticalDpi="300"/>
  <headerFooter>
    <oddHeader>&amp;R &amp;F &amp;A</oddHeader>
    <oddFooter>&amp;C&amp;P/&amp;RGestão Formal de Contratos (visto)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Y30"/>
  <sheetViews>
    <sheetView tabSelected="1" topLeftCell="B1" zoomScaleNormal="100" workbookViewId="0">
      <selection activeCell="C4" sqref="C4"/>
    </sheetView>
  </sheetViews>
  <sheetFormatPr defaultColWidth="14.44140625" defaultRowHeight="14.4"/>
  <cols>
    <col min="1" max="1" width="3.5546875" customWidth="1"/>
    <col min="2" max="2" width="32.33203125" customWidth="1"/>
    <col min="3" max="6" width="8.88671875" customWidth="1"/>
    <col min="7" max="7" width="14.5546875" customWidth="1"/>
    <col min="8" max="8" width="14.6640625" customWidth="1"/>
    <col min="9" max="9" width="13.5546875" customWidth="1"/>
    <col min="10" max="10" width="8.88671875" customWidth="1"/>
    <col min="11" max="11" width="9.6640625" customWidth="1"/>
    <col min="12" max="12" width="44.33203125" customWidth="1"/>
    <col min="13" max="13" width="12.44140625" customWidth="1"/>
    <col min="14" max="14" width="11" customWidth="1"/>
    <col min="15" max="25" width="8.88671875" customWidth="1"/>
  </cols>
  <sheetData>
    <row r="1" spans="1:25">
      <c r="A1" s="123"/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</row>
    <row r="2" spans="1:25" ht="15" customHeight="1">
      <c r="A2" s="123"/>
      <c r="B2" s="315"/>
      <c r="C2" s="316" t="s">
        <v>320</v>
      </c>
      <c r="D2" s="317"/>
      <c r="E2" s="317"/>
      <c r="F2" s="318"/>
      <c r="G2" s="319"/>
      <c r="H2" s="315"/>
      <c r="I2" s="319"/>
      <c r="J2" s="320"/>
      <c r="K2" s="320"/>
      <c r="L2" s="320"/>
      <c r="M2" s="320"/>
      <c r="N2" s="320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</row>
    <row r="3" spans="1:25" ht="72">
      <c r="A3" s="123"/>
      <c r="B3" s="321" t="s">
        <v>321</v>
      </c>
      <c r="C3" s="322" t="s">
        <v>322</v>
      </c>
      <c r="D3" s="322" t="s">
        <v>323</v>
      </c>
      <c r="E3" s="322" t="s">
        <v>324</v>
      </c>
      <c r="F3" s="322" t="s">
        <v>325</v>
      </c>
      <c r="G3" s="323" t="s">
        <v>326</v>
      </c>
      <c r="H3" s="322" t="s">
        <v>327</v>
      </c>
      <c r="I3" s="324" t="s">
        <v>328</v>
      </c>
      <c r="J3" s="320"/>
      <c r="K3" s="325" t="s">
        <v>329</v>
      </c>
      <c r="L3" s="326" t="s">
        <v>330</v>
      </c>
      <c r="M3" s="326" t="s">
        <v>331</v>
      </c>
      <c r="N3" s="326" t="s">
        <v>332</v>
      </c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</row>
    <row r="4" spans="1:25" ht="57.6">
      <c r="A4" s="123"/>
      <c r="B4" s="264" t="s">
        <v>321</v>
      </c>
      <c r="C4" s="264" t="s">
        <v>322</v>
      </c>
      <c r="D4" s="264" t="s">
        <v>323</v>
      </c>
      <c r="E4" s="264" t="s">
        <v>324</v>
      </c>
      <c r="F4" s="264" t="s">
        <v>325</v>
      </c>
      <c r="G4" s="265" t="s">
        <v>326</v>
      </c>
      <c r="H4" s="264" t="s">
        <v>333</v>
      </c>
      <c r="I4" s="266" t="s">
        <v>328</v>
      </c>
      <c r="J4" s="123"/>
      <c r="K4" s="314" t="s">
        <v>334</v>
      </c>
      <c r="L4" s="267" t="s">
        <v>335</v>
      </c>
      <c r="M4" s="268">
        <f>SUMIFS(G4:G27,H4:H27,"Piso Acarpetado",F4:F27,"&gt;0")</f>
        <v>0</v>
      </c>
      <c r="N4" s="268">
        <f>SUMIFS(I4:I24,H4:H24,"Piso Acarpetado",F4:F24,"&gt;0")</f>
        <v>0</v>
      </c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</row>
    <row r="5" spans="1:25" ht="28.8">
      <c r="A5" s="123"/>
      <c r="B5" s="269" t="s">
        <v>336</v>
      </c>
      <c r="C5" s="270"/>
      <c r="D5" s="270"/>
      <c r="E5" s="267">
        <v>1</v>
      </c>
      <c r="F5" s="267">
        <v>1</v>
      </c>
      <c r="G5" s="271">
        <v>481.57</v>
      </c>
      <c r="H5" s="267" t="s">
        <v>337</v>
      </c>
      <c r="I5" s="272">
        <f t="shared" ref="I5:I27" si="0">IF(AND(C5=0,D5=0,E5=1),((E5/5)*F5)*G5,IF(AND(C5=0,D5=0,E5=2),((E5/5)*F5)*G5,IF(AND(C5=0,D5=0,E5=3),((E5/5)*F5)*G5,IF(AND(C5=0,D5=0,E5=4),((E5/5)*F5)*G5,IF(AND(C5=0,D5=0,E5=5),((E5/5)*F5)*G5,IF(AND(C5=1,D5=0,E5=0),(C5*G5*F5/12),IF(AND(C5=0,D5=1,E5=0),(((D5/4)/5)*F5)*G5,IF(AND(C5=0,D5=2,E5=0),(((D5/2)/5)*F5)*G5,IF(AND(C5=2,D5=0,E5=0),(C5*G5*F5/12),"condição não prevista")))))))))</f>
        <v>96.314000000000007</v>
      </c>
      <c r="J5" s="123"/>
      <c r="K5" s="314"/>
      <c r="L5" s="267" t="s">
        <v>337</v>
      </c>
      <c r="M5" s="268">
        <f>SUMIFS(G4:G27,H4:H27,"Pisos frios",F4:F27,"&gt;0")</f>
        <v>2733.1900000000005</v>
      </c>
      <c r="N5" s="268">
        <f>SUMIFS(I4:I27,H4:H27,"Pisos frios",F4:F27,"&gt;0")</f>
        <v>1987.3560000000002</v>
      </c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</row>
    <row r="6" spans="1:25" ht="28.8">
      <c r="A6" s="123"/>
      <c r="B6" s="269" t="s">
        <v>338</v>
      </c>
      <c r="C6" s="270"/>
      <c r="D6" s="270"/>
      <c r="E6" s="267">
        <v>5</v>
      </c>
      <c r="F6" s="267">
        <v>2</v>
      </c>
      <c r="G6" s="271">
        <v>139.96</v>
      </c>
      <c r="H6" s="267" t="s">
        <v>172</v>
      </c>
      <c r="I6" s="272">
        <f t="shared" si="0"/>
        <v>279.92</v>
      </c>
      <c r="J6" s="123"/>
      <c r="K6" s="314"/>
      <c r="L6" s="267" t="s">
        <v>167</v>
      </c>
      <c r="M6" s="268">
        <f>SUMIFS(G4:G27,H4:H27,"laboratórios",F4:F27,"&gt;0")</f>
        <v>528.20000000000005</v>
      </c>
      <c r="N6" s="268">
        <f>SUMIFS(I4:I27,H4:H27,"Laboratórios",F4:F27,"&gt;0")</f>
        <v>161.38199999999998</v>
      </c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</row>
    <row r="7" spans="1:25">
      <c r="A7" s="123"/>
      <c r="B7" s="269" t="s">
        <v>339</v>
      </c>
      <c r="C7" s="270"/>
      <c r="D7" s="270"/>
      <c r="E7" s="267">
        <v>5</v>
      </c>
      <c r="F7" s="267">
        <v>1</v>
      </c>
      <c r="G7" s="271">
        <v>634.57000000000005</v>
      </c>
      <c r="H7" s="267" t="s">
        <v>337</v>
      </c>
      <c r="I7" s="272">
        <f t="shared" si="0"/>
        <v>634.57000000000005</v>
      </c>
      <c r="J7" s="123"/>
      <c r="K7" s="314"/>
      <c r="L7" s="267" t="s">
        <v>340</v>
      </c>
      <c r="M7" s="268">
        <f>SUMIFS(G4:G27,H4:H27,"Almoxarifado",F4:F27,"&gt;0")</f>
        <v>46.39</v>
      </c>
      <c r="N7" s="268">
        <f>SUMIFS(I4:I27,H4:H27,"Almoxarifado",F4:F27,"&gt;0")</f>
        <v>7.7316666666666665</v>
      </c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</row>
    <row r="8" spans="1:25" ht="28.8">
      <c r="A8" s="123"/>
      <c r="B8" s="269" t="s">
        <v>341</v>
      </c>
      <c r="C8" s="270"/>
      <c r="D8" s="270"/>
      <c r="E8" s="267">
        <v>5</v>
      </c>
      <c r="F8" s="273">
        <v>1</v>
      </c>
      <c r="G8" s="271">
        <v>1091.3599999999999</v>
      </c>
      <c r="H8" s="267" t="s">
        <v>342</v>
      </c>
      <c r="I8" s="272">
        <f t="shared" si="0"/>
        <v>1091.3599999999999</v>
      </c>
      <c r="J8" s="123"/>
      <c r="K8" s="314"/>
      <c r="L8" s="267" t="s">
        <v>169</v>
      </c>
      <c r="M8" s="268">
        <f>SUMIFS(G4:G27,H4:H27,"Oficinas",F4:F27,"&gt;0")</f>
        <v>0</v>
      </c>
      <c r="N8" s="268">
        <f>SUMIFS(I4:I27,H4:H27,"Oficinas",F4:F27,"&gt;0")</f>
        <v>0</v>
      </c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</row>
    <row r="9" spans="1:25" ht="28.8">
      <c r="A9" s="123"/>
      <c r="B9" s="269" t="s">
        <v>343</v>
      </c>
      <c r="C9" s="270"/>
      <c r="D9" s="270"/>
      <c r="E9" s="267">
        <v>2</v>
      </c>
      <c r="F9" s="267">
        <v>1</v>
      </c>
      <c r="G9" s="271">
        <v>278.70999999999998</v>
      </c>
      <c r="H9" s="267" t="s">
        <v>167</v>
      </c>
      <c r="I9" s="272">
        <f t="shared" si="0"/>
        <v>111.48399999999999</v>
      </c>
      <c r="J9" s="123"/>
      <c r="K9" s="314"/>
      <c r="L9" s="267" t="s">
        <v>344</v>
      </c>
      <c r="M9" s="268">
        <f>SUMIFS(G4:G27,H4:H27,"Áreas com espaços livres",F4:F27,"&gt;0")</f>
        <v>1393.6699999999998</v>
      </c>
      <c r="N9" s="268">
        <f>SUMIFS(I4:I27,H4:H27,"Áreas com espaços livres",F4:F27,"&gt;0")</f>
        <v>1212.2839999999999</v>
      </c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>
      <c r="A10" s="123"/>
      <c r="B10" s="269" t="s">
        <v>345</v>
      </c>
      <c r="C10" s="270"/>
      <c r="D10" s="270"/>
      <c r="E10" s="267">
        <v>5</v>
      </c>
      <c r="F10" s="267">
        <v>1</v>
      </c>
      <c r="G10" s="271">
        <v>60</v>
      </c>
      <c r="H10" s="267" t="s">
        <v>337</v>
      </c>
      <c r="I10" s="272">
        <f t="shared" si="0"/>
        <v>60</v>
      </c>
      <c r="J10" s="123"/>
      <c r="K10" s="314"/>
      <c r="L10" s="267" t="s">
        <v>172</v>
      </c>
      <c r="M10" s="268">
        <f>SUMIFS(G4:G27,H4:H27,"Banheiros",F4:F27,"&gt;0")</f>
        <v>178.28</v>
      </c>
      <c r="N10" s="268">
        <f>SUMIFS(I4:I27,H4:H27,"Banheiros",F4:F27,"&gt;0")</f>
        <v>318.24</v>
      </c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</row>
    <row r="11" spans="1:25" ht="23.85" customHeight="1">
      <c r="A11" s="123"/>
      <c r="B11" s="269" t="s">
        <v>346</v>
      </c>
      <c r="C11" s="270"/>
      <c r="D11" s="270"/>
      <c r="E11" s="267">
        <v>1</v>
      </c>
      <c r="F11" s="267">
        <v>1</v>
      </c>
      <c r="G11" s="271">
        <v>312.73</v>
      </c>
      <c r="H11" s="267" t="s">
        <v>337</v>
      </c>
      <c r="I11" s="272">
        <f t="shared" si="0"/>
        <v>62.546000000000006</v>
      </c>
      <c r="J11" s="123"/>
      <c r="K11" s="314" t="s">
        <v>347</v>
      </c>
      <c r="L11" s="274" t="s">
        <v>194</v>
      </c>
      <c r="M11" s="268">
        <f>SUMIFS(G4:G27,H4:H27,"Pisos Pavimentados adjacentes/contíguos às edificações",F4:F27,"&gt;0")</f>
        <v>0</v>
      </c>
      <c r="N11" s="268">
        <f>SUMIFS(I4:I27,H4:H27,"Pisos Pavimentados adjacentes/contíguos às edificações",F4:F27,"&gt;0")</f>
        <v>0</v>
      </c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</row>
    <row r="12" spans="1:25">
      <c r="A12" s="123"/>
      <c r="B12" s="269" t="s">
        <v>348</v>
      </c>
      <c r="C12" s="275"/>
      <c r="D12" s="275"/>
      <c r="E12" s="276">
        <v>5</v>
      </c>
      <c r="F12" s="276">
        <v>2</v>
      </c>
      <c r="G12" s="277">
        <v>71.16</v>
      </c>
      <c r="H12" s="278" t="s">
        <v>337</v>
      </c>
      <c r="I12" s="272">
        <f t="shared" si="0"/>
        <v>142.32</v>
      </c>
      <c r="J12" s="123"/>
      <c r="K12" s="314"/>
      <c r="L12" s="274" t="s">
        <v>195</v>
      </c>
      <c r="M12" s="268">
        <f>SUMIFS(G4:G27,H4:H27,"Varrição de passeios e arruamentos",F4:F27,"&gt;0")</f>
        <v>952.65</v>
      </c>
      <c r="N12" s="268">
        <f>SUMIFS(I4:I27,H4:H27,"Varrição de passeios e arruamentos",F4:F27,"&gt;0")</f>
        <v>158.77500000000001</v>
      </c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</row>
    <row r="13" spans="1:25">
      <c r="A13" s="123"/>
      <c r="B13" s="279" t="s">
        <v>349</v>
      </c>
      <c r="C13" s="270"/>
      <c r="D13" s="270"/>
      <c r="E13" s="267">
        <v>1</v>
      </c>
      <c r="F13" s="267">
        <v>1</v>
      </c>
      <c r="G13" s="271">
        <v>115.18</v>
      </c>
      <c r="H13" s="267" t="s">
        <v>167</v>
      </c>
      <c r="I13" s="272">
        <f t="shared" si="0"/>
        <v>23.036000000000001</v>
      </c>
      <c r="J13" s="123"/>
      <c r="K13" s="314"/>
      <c r="L13" s="274" t="s">
        <v>196</v>
      </c>
      <c r="M13" s="268">
        <f>SUMIFS(G5:G27,H5:H27,"Pátios e Áreas Verdes com Alta Frequência",F5:F27,"&gt;0")</f>
        <v>0</v>
      </c>
      <c r="N13" s="268">
        <f>SUMIFS(I4:I27,H4:H27,"Pátios e Áreas Verdes com Alta Frequência",F4:F27,"&gt;0")</f>
        <v>0</v>
      </c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</row>
    <row r="14" spans="1:25">
      <c r="A14" s="123"/>
      <c r="B14" s="269" t="s">
        <v>350</v>
      </c>
      <c r="C14" s="270"/>
      <c r="D14" s="270"/>
      <c r="E14" s="267">
        <v>5</v>
      </c>
      <c r="F14" s="267">
        <v>1</v>
      </c>
      <c r="G14" s="271">
        <v>634.57000000000005</v>
      </c>
      <c r="H14" s="278" t="s">
        <v>337</v>
      </c>
      <c r="I14" s="272">
        <f t="shared" si="0"/>
        <v>634.57000000000005</v>
      </c>
      <c r="J14" s="123"/>
      <c r="K14" s="314"/>
      <c r="L14" s="274" t="s">
        <v>197</v>
      </c>
      <c r="M14" s="268">
        <f>SUMIFS(G6:G27,H6:H27,"Pátios e Áreas Verdes com Média Frequência",F6:F27,"&gt;0")</f>
        <v>0</v>
      </c>
      <c r="N14" s="268">
        <f>SUMIFS(I4:I27,H4:H27,"Pátios e Áreas Verdes com Média Frequência",F4:F27,"&gt;0")</f>
        <v>0</v>
      </c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</row>
    <row r="15" spans="1:25">
      <c r="A15" s="123"/>
      <c r="B15" s="269" t="s">
        <v>351</v>
      </c>
      <c r="C15" s="270"/>
      <c r="D15" s="267">
        <v>1</v>
      </c>
      <c r="E15" s="270"/>
      <c r="F15" s="267">
        <v>1</v>
      </c>
      <c r="G15" s="271">
        <v>367.96</v>
      </c>
      <c r="H15" s="267" t="s">
        <v>352</v>
      </c>
      <c r="I15" s="272">
        <f t="shared" si="0"/>
        <v>18.398</v>
      </c>
      <c r="J15" s="123"/>
      <c r="K15" s="314"/>
      <c r="L15" s="274" t="s">
        <v>198</v>
      </c>
      <c r="M15" s="268">
        <f>SUMIFS(G7:G27,H7:H27,"Pátios e Áreas Verdes com Baixa Frequência",F7:F27,"&gt;0")</f>
        <v>0</v>
      </c>
      <c r="N15" s="268">
        <f>SUMIFS(I4:I27,H4:H27,"Pátios e Áreas Verdes com Baixa Frequência",F4:F27,"&gt;0")</f>
        <v>0</v>
      </c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</row>
    <row r="16" spans="1:25" ht="57.6">
      <c r="A16" s="123"/>
      <c r="B16" s="269" t="s">
        <v>353</v>
      </c>
      <c r="C16" s="270"/>
      <c r="D16" s="267">
        <v>1</v>
      </c>
      <c r="E16" s="270"/>
      <c r="F16" s="267">
        <v>1</v>
      </c>
      <c r="G16" s="271">
        <v>218.46</v>
      </c>
      <c r="H16" s="267" t="s">
        <v>354</v>
      </c>
      <c r="I16" s="272">
        <f t="shared" si="0"/>
        <v>10.923000000000002</v>
      </c>
      <c r="J16" s="123"/>
      <c r="K16" s="314"/>
      <c r="L16" s="274" t="s">
        <v>199</v>
      </c>
      <c r="M16" s="268">
        <f>SUMIFS(G4:G27,H4:H27,"Coleta de Detritos em Pátios e Áreas Verdes com Frequência Diária",F4:F27,"&gt;0")</f>
        <v>0</v>
      </c>
      <c r="N16" s="268">
        <f>SUMIFS(I4:I27,H4:H27,"Coleta de Detritos em Pátios e Áreas Verdes com Frequência Diária",F4:F27,"&gt;0")</f>
        <v>0</v>
      </c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</row>
    <row r="17" spans="1:25" ht="46.2" customHeight="1">
      <c r="A17" s="123"/>
      <c r="B17" s="269" t="s">
        <v>355</v>
      </c>
      <c r="C17" s="280">
        <v>1</v>
      </c>
      <c r="D17" s="270"/>
      <c r="E17" s="270"/>
      <c r="F17" s="280">
        <v>1</v>
      </c>
      <c r="G17" s="281">
        <v>149.5</v>
      </c>
      <c r="H17" s="267" t="s">
        <v>356</v>
      </c>
      <c r="I17" s="272">
        <f t="shared" si="0"/>
        <v>12.458333333333334</v>
      </c>
      <c r="J17" s="123"/>
      <c r="K17" s="314" t="s">
        <v>357</v>
      </c>
      <c r="L17" s="267" t="s">
        <v>356</v>
      </c>
      <c r="M17" s="268">
        <f>SUMIFS(G4:G27,H4:H27,"Face Externa com Exposição a Situação de Risco",F4:F27,"&gt;0")</f>
        <v>149.5</v>
      </c>
      <c r="N17" s="268">
        <f>SUMIFS(I4:I27,H4:H27,"Face Externa com Exposição a Situação de Risco",F4:F27,"&gt;0")</f>
        <v>12.458333333333334</v>
      </c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</row>
    <row r="18" spans="1:25">
      <c r="A18" s="123"/>
      <c r="B18" s="282" t="s">
        <v>358</v>
      </c>
      <c r="C18" s="270"/>
      <c r="D18" s="270"/>
      <c r="E18" s="280">
        <v>2</v>
      </c>
      <c r="F18" s="280">
        <v>1</v>
      </c>
      <c r="G18" s="281">
        <v>221.29</v>
      </c>
      <c r="H18" s="267" t="s">
        <v>337</v>
      </c>
      <c r="I18" s="272">
        <f t="shared" si="0"/>
        <v>88.516000000000005</v>
      </c>
      <c r="J18" s="123"/>
      <c r="K18" s="314"/>
      <c r="L18" s="267" t="s">
        <v>354</v>
      </c>
      <c r="M18" s="268">
        <f>SUMIFS(G4:G27,H4:H27,"Face Externa sem Exposição a Situação de Risco",F4:F27,"&gt;0")</f>
        <v>304.27999999999997</v>
      </c>
      <c r="N18" s="268">
        <f>SUMIFS(I4:I27,H4:H27,"Face Externa sem Exposição a Situação de Risco",F4:F27,"&gt;0")</f>
        <v>15.214000000000002</v>
      </c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</row>
    <row r="19" spans="1:25" ht="28.8">
      <c r="A19" s="123"/>
      <c r="B19" s="282" t="s">
        <v>359</v>
      </c>
      <c r="C19" s="270"/>
      <c r="D19" s="270"/>
      <c r="E19" s="280">
        <v>2</v>
      </c>
      <c r="F19" s="280">
        <v>1</v>
      </c>
      <c r="G19" s="281">
        <v>302.31</v>
      </c>
      <c r="H19" s="267" t="s">
        <v>342</v>
      </c>
      <c r="I19" s="272">
        <f t="shared" si="0"/>
        <v>120.92400000000001</v>
      </c>
      <c r="J19" s="123"/>
      <c r="K19" s="314"/>
      <c r="L19" s="267" t="s">
        <v>352</v>
      </c>
      <c r="M19" s="268">
        <f>SUMIFS(G4:G27,H4:H27,"Face Interna",F4:F27,"&gt;0")</f>
        <v>453.78</v>
      </c>
      <c r="N19" s="268">
        <f>SUMIFS(I4:I27,H4:H27,"Face Interna",F4:F27,"&gt;0")</f>
        <v>22.689</v>
      </c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</row>
    <row r="20" spans="1:25" ht="43.2">
      <c r="A20" s="123"/>
      <c r="B20" s="282" t="s">
        <v>360</v>
      </c>
      <c r="C20" s="270"/>
      <c r="D20" s="270"/>
      <c r="E20" s="280">
        <v>5</v>
      </c>
      <c r="F20" s="280">
        <v>1</v>
      </c>
      <c r="G20" s="281">
        <v>38.32</v>
      </c>
      <c r="H20" s="267" t="s">
        <v>172</v>
      </c>
      <c r="I20" s="272">
        <f t="shared" si="0"/>
        <v>38.32</v>
      </c>
      <c r="J20" s="123"/>
      <c r="K20" s="267" t="s">
        <v>185</v>
      </c>
      <c r="L20" s="267" t="s">
        <v>361</v>
      </c>
      <c r="M20" s="268">
        <f>SUMIFS(G4:G27,H4:H27,"Fachadas Envidraçadas",F4:F27,"&gt;0")</f>
        <v>0</v>
      </c>
      <c r="N20" s="268">
        <f>SUMIFS(I4:I27,H4:H27,"Fachadas Envidraçadas",F4:F27,"&gt;0")</f>
        <v>0</v>
      </c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</row>
    <row r="21" spans="1:25" ht="72">
      <c r="A21" s="123"/>
      <c r="B21" s="269" t="s">
        <v>362</v>
      </c>
      <c r="C21" s="270"/>
      <c r="D21" s="270"/>
      <c r="E21" s="267">
        <v>2</v>
      </c>
      <c r="F21" s="267">
        <v>1</v>
      </c>
      <c r="G21" s="271">
        <v>228.8</v>
      </c>
      <c r="H21" s="267" t="s">
        <v>337</v>
      </c>
      <c r="I21" s="272">
        <f t="shared" si="0"/>
        <v>91.52000000000001</v>
      </c>
      <c r="J21" s="123"/>
      <c r="K21" s="267" t="s">
        <v>363</v>
      </c>
      <c r="L21" s="267" t="s">
        <v>363</v>
      </c>
      <c r="M21" s="268">
        <f>SUMIFS(G4:G27,H4:H27,"Área hospitalar",F4:F27,"&gt;0")</f>
        <v>0</v>
      </c>
      <c r="N21" s="268">
        <f>SUMIFS(I4:I27,H4:H27,"Área Hospitalar",F4:F27,"&gt;0")</f>
        <v>0</v>
      </c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</row>
    <row r="22" spans="1:25">
      <c r="A22" s="123"/>
      <c r="B22" s="269" t="s">
        <v>364</v>
      </c>
      <c r="C22" s="270">
        <v>2</v>
      </c>
      <c r="D22" s="270"/>
      <c r="E22" s="267"/>
      <c r="F22" s="267">
        <v>1</v>
      </c>
      <c r="G22" s="271">
        <v>46.39</v>
      </c>
      <c r="H22" s="267" t="s">
        <v>340</v>
      </c>
      <c r="I22" s="272">
        <f t="shared" si="0"/>
        <v>7.7316666666666665</v>
      </c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</row>
    <row r="23" spans="1:25">
      <c r="A23" s="123"/>
      <c r="B23" s="282" t="s">
        <v>365</v>
      </c>
      <c r="C23" s="270"/>
      <c r="D23" s="280">
        <v>2</v>
      </c>
      <c r="E23" s="270"/>
      <c r="F23" s="280">
        <v>1</v>
      </c>
      <c r="G23" s="281">
        <v>134.31</v>
      </c>
      <c r="H23" s="267" t="s">
        <v>167</v>
      </c>
      <c r="I23" s="272">
        <f t="shared" si="0"/>
        <v>26.862000000000002</v>
      </c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</row>
    <row r="24" spans="1:25">
      <c r="A24" s="123"/>
      <c r="B24" s="282" t="s">
        <v>366</v>
      </c>
      <c r="C24" s="270"/>
      <c r="D24" s="280">
        <v>1</v>
      </c>
      <c r="E24" s="270"/>
      <c r="F24" s="280">
        <v>1</v>
      </c>
      <c r="G24" s="281">
        <v>85.82</v>
      </c>
      <c r="H24" s="267" t="s">
        <v>352</v>
      </c>
      <c r="I24" s="272">
        <f t="shared" si="0"/>
        <v>4.2909999999999995</v>
      </c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</row>
    <row r="25" spans="1:25" ht="57.6">
      <c r="A25" s="123"/>
      <c r="B25" s="269" t="s">
        <v>367</v>
      </c>
      <c r="C25" s="270"/>
      <c r="D25" s="280">
        <v>1</v>
      </c>
      <c r="E25" s="270"/>
      <c r="F25" s="280">
        <v>1</v>
      </c>
      <c r="G25" s="281">
        <v>85.82</v>
      </c>
      <c r="H25" s="267" t="s">
        <v>354</v>
      </c>
      <c r="I25" s="272">
        <f t="shared" si="0"/>
        <v>4.2909999999999995</v>
      </c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</row>
    <row r="26" spans="1:25">
      <c r="A26" s="123"/>
      <c r="B26" s="282" t="s">
        <v>368</v>
      </c>
      <c r="C26" s="270"/>
      <c r="D26" s="270"/>
      <c r="E26" s="280">
        <v>5</v>
      </c>
      <c r="F26" s="280">
        <v>2</v>
      </c>
      <c r="G26" s="281">
        <v>88.5</v>
      </c>
      <c r="H26" s="267" t="s">
        <v>337</v>
      </c>
      <c r="I26" s="272">
        <f t="shared" si="0"/>
        <v>177</v>
      </c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</row>
    <row r="27" spans="1:25" ht="43.2">
      <c r="A27" s="123"/>
      <c r="B27" s="282" t="s">
        <v>369</v>
      </c>
      <c r="C27" s="280">
        <v>2</v>
      </c>
      <c r="D27" s="270"/>
      <c r="E27" s="270"/>
      <c r="F27" s="280">
        <v>1</v>
      </c>
      <c r="G27" s="281">
        <v>952.65</v>
      </c>
      <c r="H27" s="267" t="s">
        <v>195</v>
      </c>
      <c r="I27" s="272">
        <f t="shared" si="0"/>
        <v>158.77500000000001</v>
      </c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</row>
    <row r="28" spans="1:25">
      <c r="A28" s="123"/>
      <c r="B28" s="283"/>
      <c r="C28" s="283"/>
      <c r="D28" s="283"/>
      <c r="E28" s="283"/>
      <c r="F28" s="283"/>
      <c r="G28" s="284">
        <f>SUM(G5:G27)</f>
        <v>6739.94</v>
      </c>
      <c r="H28" s="283"/>
      <c r="I28" s="285">
        <f>SUM(I5:I27)</f>
        <v>3896.1300000000006</v>
      </c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</row>
    <row r="29" spans="1:25">
      <c r="A29" s="123"/>
      <c r="B29" s="123"/>
      <c r="C29" s="123"/>
      <c r="D29" s="123"/>
      <c r="E29" s="123"/>
      <c r="F29" s="123"/>
      <c r="G29" s="175"/>
      <c r="H29" s="123"/>
      <c r="I29" s="175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</row>
    <row r="30" spans="1:25">
      <c r="A30" s="123"/>
      <c r="B30" s="123"/>
      <c r="C30" s="123"/>
      <c r="D30" s="123"/>
      <c r="E30" s="123"/>
      <c r="F30" s="123"/>
      <c r="G30" s="175"/>
      <c r="H30" s="123"/>
      <c r="I30" s="175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</row>
  </sheetData>
  <autoFilter ref="H4:H30" xr:uid="{00000000-0009-0000-0000-000007000000}"/>
  <mergeCells count="5">
    <mergeCell ref="B1:M1"/>
    <mergeCell ref="C2:F2"/>
    <mergeCell ref="K4:K10"/>
    <mergeCell ref="K11:K16"/>
    <mergeCell ref="K17:K19"/>
  </mergeCells>
  <printOptions horizontalCentered="1"/>
  <pageMargins left="0.25" right="0.25" top="0.75" bottom="0.75" header="0.3" footer="0.3"/>
  <pageSetup paperSize="9" fitToHeight="0" orientation="landscape" horizontalDpi="300" verticalDpi="300"/>
  <headerFooter>
    <oddHeader>&amp;R &amp;F &amp;A</oddHeader>
    <oddFooter>&amp;C&amp;P/&amp;RGestão Formal de Contratos (visto)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RESUMO</vt:lpstr>
      <vt:lpstr>Custos por posto</vt:lpstr>
      <vt:lpstr>M²</vt:lpstr>
      <vt:lpstr>EQU</vt:lpstr>
      <vt:lpstr>UNI.EPI</vt:lpstr>
      <vt:lpstr>MAT</vt:lpstr>
      <vt:lpstr>UTE</vt:lpstr>
      <vt:lpstr>Locais</vt:lpstr>
    </vt:vector>
  </TitlesOfParts>
  <Company>UFSC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Joseane Salles Valero</dc:creator>
  <dc:description/>
  <cp:lastModifiedBy>Ambiente de Trabalho</cp:lastModifiedBy>
  <cp:revision>1</cp:revision>
  <cp:lastPrinted>2025-07-04T03:35:11Z</cp:lastPrinted>
  <dcterms:created xsi:type="dcterms:W3CDTF">2016-06-22T19:00:36Z</dcterms:created>
  <dcterms:modified xsi:type="dcterms:W3CDTF">2025-07-16T17:43:58Z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